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A24FB2A7-C842-4990-BF56-2D3A899604A7}" xr6:coauthVersionLast="47" xr6:coauthVersionMax="47" xr10:uidLastSave="{00000000-0000-0000-0000-000000000000}"/>
  <workbookProtection workbookAlgorithmName="SHA-512" workbookHashValue="18l1erbPuuBtDhG1TjsRIS0doynvLiYFaQJAmapmbsWq+Pxwven3rRrLnCjqGV0vnPGx9Qa0Lv787Vm0LZT0Ww==" workbookSaltValue="l3ZB3IL+/M3CK1ckiFl5Bg==" workbookSpinCount="100000" lockStructure="1"/>
  <bookViews>
    <workbookView xWindow="-120" yWindow="-120" windowWidth="29040" windowHeight="17520" xr2:uid="{00000000-000D-0000-FFFF-FFFF00000000}"/>
  </bookViews>
  <sheets>
    <sheet name="Construction Management Planner" sheetId="5" r:id="rId1"/>
    <sheet name="Unitsets" sheetId="2" state="hidden" r:id="rId2"/>
    <sheet name="Handbook" sheetId="3" state="hidden" r:id="rId3"/>
    <sheet name="Structures" sheetId="8" state="hidden" r:id="rId4"/>
    <sheet name="Availabilities" sheetId="9" state="hidden" r:id="rId5"/>
  </sheets>
  <definedNames>
    <definedName name="_xlnm._FilterDatabase" localSheetId="2" hidden="1">Handbook!#REF!</definedName>
    <definedName name="_xlnm.Print_Area" localSheetId="0">'Construction Management Planner'!$A$3:$L$80</definedName>
    <definedName name="RangeSpecSets">Unitsets!$L$43:$Q$58</definedName>
    <definedName name="RangeUnitsets">Unitsets!$L$3:$AI$27</definedName>
    <definedName name="RangeUnitSetsY4">Unitsets!$L$31:$AA$39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7" i="3" l="1"/>
  <c r="H67" i="3"/>
  <c r="I67" i="3"/>
  <c r="J67" i="3"/>
  <c r="L67" i="3"/>
  <c r="M67" i="3"/>
  <c r="N67" i="3"/>
  <c r="O67" i="3"/>
  <c r="P67" i="3"/>
  <c r="Q67" i="3"/>
  <c r="G62" i="3"/>
  <c r="H62" i="3"/>
  <c r="I62" i="3"/>
  <c r="J62" i="3"/>
  <c r="L62" i="3"/>
  <c r="M62" i="3"/>
  <c r="N62" i="3"/>
  <c r="O62" i="3"/>
  <c r="P62" i="3"/>
  <c r="Q62" i="3"/>
  <c r="G63" i="3"/>
  <c r="H63" i="3"/>
  <c r="I63" i="3"/>
  <c r="J63" i="3"/>
  <c r="H61" i="5" l="1"/>
  <c r="L62" i="5"/>
  <c r="K62" i="5"/>
  <c r="J62" i="5"/>
  <c r="I62" i="5"/>
  <c r="H62" i="5"/>
  <c r="L48" i="5"/>
  <c r="K48" i="5"/>
  <c r="J48" i="5"/>
  <c r="I48" i="5"/>
  <c r="H48" i="5"/>
  <c r="L36" i="5"/>
  <c r="K36" i="5"/>
  <c r="J36" i="5"/>
  <c r="I36" i="5"/>
  <c r="H36" i="5"/>
  <c r="G6" i="3" l="1"/>
  <c r="H6" i="3"/>
  <c r="I6" i="3"/>
  <c r="J6" i="3"/>
  <c r="Q1" i="3"/>
  <c r="P1" i="3"/>
  <c r="O1" i="3"/>
  <c r="N1" i="3"/>
  <c r="M1" i="3"/>
  <c r="L1" i="3"/>
  <c r="K1" i="3"/>
  <c r="J1" i="3"/>
  <c r="I1" i="3"/>
  <c r="H1" i="3"/>
  <c r="G1" i="3"/>
  <c r="F1" i="3"/>
  <c r="E1" i="3"/>
  <c r="D1" i="3"/>
  <c r="C1" i="3"/>
  <c r="B1" i="3"/>
  <c r="A1" i="3"/>
  <c r="G5" i="3"/>
  <c r="H5" i="3"/>
  <c r="I5" i="3"/>
  <c r="J5" i="3"/>
  <c r="L24" i="5"/>
  <c r="K24" i="5"/>
  <c r="J24" i="5"/>
  <c r="I24" i="5"/>
  <c r="H24" i="5"/>
  <c r="G9" i="5"/>
  <c r="L7" i="5" l="1"/>
  <c r="A58" i="5" s="1"/>
  <c r="E58" i="5" s="1"/>
  <c r="G7" i="5"/>
  <c r="L8" i="5"/>
  <c r="A23" i="5" s="1"/>
  <c r="A44" i="5" l="1"/>
  <c r="A37" i="5"/>
  <c r="E37" i="5" s="1"/>
  <c r="A29" i="5"/>
  <c r="A38" i="5"/>
  <c r="A35" i="5"/>
  <c r="A50" i="5"/>
  <c r="A28" i="5"/>
  <c r="E28" i="5" s="1"/>
  <c r="A31" i="5"/>
  <c r="E31" i="5" s="1"/>
  <c r="A40" i="5"/>
  <c r="E40" i="5" s="1"/>
  <c r="A32" i="5"/>
  <c r="A41" i="5"/>
  <c r="A25" i="5"/>
  <c r="E25" i="5" s="1"/>
  <c r="A34" i="5"/>
  <c r="E34" i="5" s="1"/>
  <c r="A43" i="5"/>
  <c r="E43" i="5" s="1"/>
  <c r="A46" i="5"/>
  <c r="E46" i="5" s="1"/>
  <c r="A26" i="5"/>
  <c r="A49" i="5"/>
  <c r="E49" i="5" s="1"/>
  <c r="A47" i="5"/>
  <c r="A22" i="5"/>
  <c r="A59" i="5"/>
  <c r="E59" i="5" s="1"/>
  <c r="A14" i="5"/>
  <c r="A13" i="5"/>
  <c r="A17" i="5"/>
  <c r="A52" i="5"/>
  <c r="E52" i="5" s="1"/>
  <c r="A56" i="5"/>
  <c r="A16" i="5"/>
  <c r="A19" i="5"/>
  <c r="A53" i="5"/>
  <c r="A20" i="5"/>
  <c r="A55" i="5"/>
  <c r="E55" i="5" s="1"/>
  <c r="E47" i="5" l="1"/>
  <c r="E38" i="5"/>
  <c r="E44" i="5"/>
  <c r="E50" i="5"/>
  <c r="E53" i="5"/>
  <c r="E56" i="5"/>
  <c r="E41" i="5"/>
  <c r="E29" i="5"/>
  <c r="E35" i="5"/>
  <c r="E32" i="5"/>
  <c r="E26" i="5"/>
  <c r="G49" i="3"/>
  <c r="G50" i="3"/>
  <c r="G44" i="3"/>
  <c r="G46" i="3"/>
  <c r="G48" i="3"/>
  <c r="G64" i="3"/>
  <c r="G65" i="3"/>
  <c r="G68" i="3"/>
  <c r="H49" i="3"/>
  <c r="H50" i="3"/>
  <c r="H44" i="3"/>
  <c r="H46" i="3"/>
  <c r="H48" i="3"/>
  <c r="H64" i="3"/>
  <c r="H65" i="3"/>
  <c r="H68" i="3"/>
  <c r="I49" i="3"/>
  <c r="I50" i="3"/>
  <c r="I44" i="3"/>
  <c r="I46" i="3"/>
  <c r="I48" i="3"/>
  <c r="I64" i="3"/>
  <c r="I65" i="3"/>
  <c r="I68" i="3"/>
  <c r="J49" i="3"/>
  <c r="J50" i="3"/>
  <c r="J44" i="3"/>
  <c r="J46" i="3"/>
  <c r="J48" i="3"/>
  <c r="J64" i="3"/>
  <c r="J65" i="3"/>
  <c r="J68" i="3"/>
  <c r="D69" i="8"/>
  <c r="C69" i="8"/>
  <c r="D68" i="8"/>
  <c r="C68" i="8"/>
  <c r="D67" i="8"/>
  <c r="C67" i="8"/>
  <c r="D66" i="8"/>
  <c r="C66" i="8"/>
  <c r="D62" i="8"/>
  <c r="C62" i="8"/>
  <c r="D61" i="8"/>
  <c r="D60" i="8"/>
  <c r="D58" i="8"/>
  <c r="C58" i="8"/>
  <c r="G9" i="3"/>
  <c r="H9" i="3"/>
  <c r="I9" i="3"/>
  <c r="J9" i="3"/>
  <c r="G52" i="3"/>
  <c r="H52" i="3"/>
  <c r="I52" i="3"/>
  <c r="J52" i="3"/>
  <c r="G54" i="3"/>
  <c r="G55" i="3"/>
  <c r="H54" i="3"/>
  <c r="H55" i="3"/>
  <c r="I54" i="3"/>
  <c r="I55" i="3"/>
  <c r="J54" i="3"/>
  <c r="J55" i="3"/>
  <c r="A66" i="8" l="1"/>
  <c r="A67" i="8"/>
  <c r="A68" i="8"/>
  <c r="A69" i="8"/>
  <c r="B66" i="8"/>
  <c r="B67" i="8"/>
  <c r="B68" i="8"/>
  <c r="B69" i="8"/>
  <c r="E66" i="8"/>
  <c r="E67" i="8"/>
  <c r="E68" i="8"/>
  <c r="E69" i="8"/>
  <c r="J3" i="3" l="1"/>
  <c r="J4" i="3"/>
  <c r="J7" i="3"/>
  <c r="J8"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5" i="3"/>
  <c r="J47" i="3"/>
  <c r="J51" i="3"/>
  <c r="J53" i="3"/>
  <c r="J56" i="3"/>
  <c r="J57" i="3"/>
  <c r="J58" i="3"/>
  <c r="J59" i="3"/>
  <c r="J60" i="3"/>
  <c r="J61" i="3"/>
  <c r="J66" i="3"/>
  <c r="I3" i="3"/>
  <c r="I4" i="3"/>
  <c r="I7" i="3"/>
  <c r="I8"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5" i="3"/>
  <c r="I47" i="3"/>
  <c r="I51" i="3"/>
  <c r="I53" i="3"/>
  <c r="I56" i="3"/>
  <c r="I57" i="3"/>
  <c r="I58" i="3"/>
  <c r="I59" i="3"/>
  <c r="I60" i="3"/>
  <c r="I61" i="3"/>
  <c r="I66" i="3"/>
  <c r="H4" i="3"/>
  <c r="H7" i="3"/>
  <c r="H8"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5" i="3"/>
  <c r="H47" i="3"/>
  <c r="H51" i="3"/>
  <c r="H53" i="3"/>
  <c r="H56" i="3"/>
  <c r="H57" i="3"/>
  <c r="H58" i="3"/>
  <c r="H59" i="3"/>
  <c r="H60" i="3"/>
  <c r="H61" i="3"/>
  <c r="H66" i="3"/>
  <c r="H3" i="3"/>
  <c r="G3" i="3"/>
  <c r="G4" i="3"/>
  <c r="G7" i="3"/>
  <c r="G8" i="3"/>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5" i="3"/>
  <c r="G47" i="3"/>
  <c r="G51" i="3"/>
  <c r="G53" i="3"/>
  <c r="G56" i="3"/>
  <c r="G57" i="3"/>
  <c r="G58" i="3"/>
  <c r="G59" i="3"/>
  <c r="G60" i="3"/>
  <c r="G61" i="3"/>
  <c r="G66" i="3"/>
  <c r="I14" i="5" l="1"/>
  <c r="J14" i="5"/>
  <c r="H14" i="5"/>
  <c r="K14" i="5"/>
  <c r="H13" i="5"/>
  <c r="I13" i="5"/>
  <c r="J13" i="5"/>
  <c r="K13" i="5"/>
  <c r="A61" i="5"/>
  <c r="L6" i="5" l="1"/>
  <c r="L61" i="5"/>
  <c r="A76" i="5" s="1"/>
  <c r="C76" i="5" l="1"/>
  <c r="B76" i="5"/>
  <c r="F76" i="5"/>
  <c r="D76" i="5"/>
  <c r="G76" i="5"/>
  <c r="I76" i="5"/>
  <c r="J76" i="5"/>
  <c r="K76" i="5"/>
  <c r="H76" i="5"/>
  <c r="H55" i="5"/>
  <c r="A63" i="5"/>
  <c r="I63" i="5" s="1"/>
  <c r="A73" i="5"/>
  <c r="A75" i="5"/>
  <c r="A72" i="5"/>
  <c r="A74" i="5"/>
  <c r="A71" i="5"/>
  <c r="A64" i="5"/>
  <c r="A65" i="5"/>
  <c r="A66" i="5"/>
  <c r="A67" i="5"/>
  <c r="A68" i="5"/>
  <c r="A69" i="5"/>
  <c r="A70" i="5"/>
  <c r="K55" i="5" l="1"/>
  <c r="J55" i="5"/>
  <c r="I55" i="5"/>
  <c r="J63" i="5"/>
  <c r="K63" i="5"/>
  <c r="H63" i="5"/>
  <c r="G72" i="5"/>
  <c r="I72" i="5"/>
  <c r="H72" i="5"/>
  <c r="F72" i="5"/>
  <c r="J72" i="5"/>
  <c r="C72" i="5"/>
  <c r="D72" i="5"/>
  <c r="B72" i="5"/>
  <c r="K72" i="5"/>
  <c r="I75" i="5"/>
  <c r="G75" i="5"/>
  <c r="D75" i="5"/>
  <c r="J75" i="5"/>
  <c r="B75" i="5"/>
  <c r="K75" i="5"/>
  <c r="F75" i="5"/>
  <c r="H75" i="5"/>
  <c r="C75" i="5"/>
  <c r="K74" i="5"/>
  <c r="D74" i="5"/>
  <c r="C74" i="5"/>
  <c r="G74" i="5"/>
  <c r="H74" i="5"/>
  <c r="J74" i="5"/>
  <c r="B74" i="5"/>
  <c r="F74" i="5"/>
  <c r="I74" i="5"/>
  <c r="D73" i="5"/>
  <c r="F73" i="5"/>
  <c r="C73" i="5"/>
  <c r="G73" i="5"/>
  <c r="J73" i="5"/>
  <c r="H73" i="5"/>
  <c r="B73" i="5"/>
  <c r="I73" i="5"/>
  <c r="K73" i="5"/>
  <c r="J70" i="5"/>
  <c r="I70" i="5"/>
  <c r="K70" i="5"/>
  <c r="H70" i="5"/>
  <c r="J69" i="5"/>
  <c r="I69" i="5"/>
  <c r="K69" i="5"/>
  <c r="H69" i="5"/>
  <c r="J71" i="5"/>
  <c r="H71" i="5"/>
  <c r="K71" i="5"/>
  <c r="I71" i="5"/>
  <c r="J68" i="5"/>
  <c r="I68" i="5"/>
  <c r="H68" i="5"/>
  <c r="K68" i="5"/>
  <c r="H67" i="5"/>
  <c r="K67" i="5"/>
  <c r="J67" i="5"/>
  <c r="I67" i="5"/>
  <c r="J66" i="5"/>
  <c r="I66" i="5"/>
  <c r="K66" i="5"/>
  <c r="H66" i="5"/>
  <c r="J65" i="5"/>
  <c r="K65" i="5"/>
  <c r="I65" i="5"/>
  <c r="H65" i="5"/>
  <c r="J64" i="5"/>
  <c r="I64" i="5"/>
  <c r="K64" i="5"/>
  <c r="H64" i="5"/>
  <c r="K52" i="5"/>
  <c r="H52" i="5"/>
  <c r="I52" i="5"/>
  <c r="J52" i="5"/>
  <c r="K53" i="5"/>
  <c r="H53" i="5"/>
  <c r="J53" i="5"/>
  <c r="I53" i="5"/>
  <c r="H50" i="5"/>
  <c r="K50" i="5"/>
  <c r="J50" i="5"/>
  <c r="I50" i="5"/>
  <c r="K59" i="5"/>
  <c r="J59" i="5"/>
  <c r="H59" i="5"/>
  <c r="I59" i="5"/>
  <c r="K58" i="5"/>
  <c r="I58" i="5"/>
  <c r="H58" i="5"/>
  <c r="J58" i="5"/>
  <c r="K49" i="5"/>
  <c r="H49" i="5"/>
  <c r="I49" i="5"/>
  <c r="J49" i="5"/>
  <c r="K56" i="5"/>
  <c r="J56" i="5"/>
  <c r="I56" i="5"/>
  <c r="H56" i="5"/>
  <c r="H29" i="5"/>
  <c r="J29" i="5"/>
  <c r="I29" i="5"/>
  <c r="K29" i="5"/>
  <c r="K40" i="5"/>
  <c r="J40" i="5"/>
  <c r="I40" i="5"/>
  <c r="H40" i="5"/>
  <c r="I17" i="5"/>
  <c r="H17" i="5"/>
  <c r="K17" i="5"/>
  <c r="J17" i="5"/>
  <c r="J16" i="5"/>
  <c r="K16" i="5"/>
  <c r="I16" i="5"/>
  <c r="H16" i="5"/>
  <c r="I26" i="5"/>
  <c r="K26" i="5"/>
  <c r="J26" i="5"/>
  <c r="H26" i="5"/>
  <c r="K34" i="5"/>
  <c r="J34" i="5"/>
  <c r="H34" i="5"/>
  <c r="I34" i="5"/>
  <c r="K22" i="5"/>
  <c r="J22" i="5"/>
  <c r="I22" i="5"/>
  <c r="H22" i="5"/>
  <c r="K25" i="5"/>
  <c r="J25" i="5"/>
  <c r="H25" i="5"/>
  <c r="I25" i="5"/>
  <c r="K37" i="5"/>
  <c r="J37" i="5"/>
  <c r="H37" i="5"/>
  <c r="I37" i="5"/>
  <c r="K31" i="5"/>
  <c r="J31" i="5"/>
  <c r="I31" i="5"/>
  <c r="H31" i="5"/>
  <c r="K19" i="5"/>
  <c r="J19" i="5"/>
  <c r="H19" i="5"/>
  <c r="I19" i="5"/>
  <c r="H35" i="5"/>
  <c r="K35" i="5"/>
  <c r="J35" i="5"/>
  <c r="I35" i="5"/>
  <c r="I47" i="5"/>
  <c r="H47" i="5"/>
  <c r="J47" i="5"/>
  <c r="K47" i="5"/>
  <c r="K43" i="5"/>
  <c r="J43" i="5"/>
  <c r="H43" i="5"/>
  <c r="I43" i="5"/>
  <c r="I32" i="5"/>
  <c r="H32" i="5"/>
  <c r="K32" i="5"/>
  <c r="J32" i="5"/>
  <c r="K46" i="5"/>
  <c r="J46" i="5"/>
  <c r="I46" i="5"/>
  <c r="H46" i="5"/>
  <c r="J41" i="5"/>
  <c r="I41" i="5"/>
  <c r="H41" i="5"/>
  <c r="K41" i="5"/>
  <c r="H23" i="5"/>
  <c r="K23" i="5"/>
  <c r="J23" i="5"/>
  <c r="I23" i="5"/>
  <c r="I44" i="5"/>
  <c r="H44" i="5"/>
  <c r="K44" i="5"/>
  <c r="J44" i="5"/>
  <c r="J20" i="5"/>
  <c r="H20" i="5"/>
  <c r="K20" i="5"/>
  <c r="I20" i="5"/>
  <c r="K28" i="5"/>
  <c r="J28" i="5"/>
  <c r="H28" i="5"/>
  <c r="I28" i="5"/>
  <c r="I38" i="5"/>
  <c r="H38" i="5"/>
  <c r="K38" i="5"/>
  <c r="J38" i="5"/>
  <c r="G6" i="5" l="1"/>
  <c r="G8" i="5"/>
  <c r="D64" i="5" l="1"/>
  <c r="D68" i="5"/>
  <c r="G71" i="5"/>
  <c r="G67" i="5"/>
  <c r="C68" i="5" l="1"/>
  <c r="F68" i="5"/>
  <c r="B68" i="5"/>
  <c r="G68" i="5"/>
  <c r="B64" i="5"/>
  <c r="G64" i="5"/>
  <c r="F64" i="5"/>
  <c r="C64" i="5"/>
  <c r="G66" i="5"/>
  <c r="C67" i="5"/>
  <c r="D67" i="5"/>
  <c r="C66" i="5"/>
  <c r="F66" i="5"/>
  <c r="B67" i="5"/>
  <c r="D66" i="5"/>
  <c r="B71" i="5"/>
  <c r="D71" i="5"/>
  <c r="B66" i="5"/>
  <c r="F67" i="5"/>
  <c r="B65" i="5"/>
  <c r="G65" i="5"/>
  <c r="F65" i="5"/>
  <c r="F71" i="5"/>
  <c r="D65" i="5"/>
  <c r="C71" i="5"/>
  <c r="C65" i="5"/>
  <c r="B70" i="5"/>
  <c r="B69" i="5"/>
  <c r="D69" i="5"/>
  <c r="F70" i="5"/>
  <c r="G70" i="5"/>
  <c r="D70" i="5"/>
  <c r="C70" i="5"/>
  <c r="G69" i="5"/>
  <c r="F69" i="5"/>
  <c r="C69" i="5"/>
  <c r="D72" i="8" l="1"/>
  <c r="D73" i="8"/>
  <c r="D74" i="8"/>
  <c r="D75" i="8"/>
  <c r="D76" i="8"/>
  <c r="D77" i="8"/>
  <c r="D65" i="8" l="1"/>
  <c r="D64" i="8"/>
  <c r="D63" i="8"/>
  <c r="D59" i="8"/>
  <c r="D53" i="8"/>
  <c r="D54" i="8" l="1"/>
  <c r="D52" i="8"/>
  <c r="D50" i="8"/>
  <c r="D51" i="8"/>
  <c r="D55" i="8"/>
  <c r="C54" i="8"/>
  <c r="C52" i="8"/>
  <c r="C50" i="8"/>
  <c r="C51" i="8"/>
  <c r="C55" i="8"/>
  <c r="C72" i="8"/>
  <c r="C73" i="8"/>
  <c r="C74" i="8"/>
  <c r="C76" i="8"/>
  <c r="C77" i="8"/>
  <c r="C65" i="8"/>
  <c r="C59" i="8"/>
  <c r="C63" i="8"/>
  <c r="C64" i="8"/>
  <c r="D29" i="8"/>
  <c r="D28" i="8"/>
  <c r="D27" i="8"/>
  <c r="D26" i="8"/>
  <c r="D25" i="8"/>
  <c r="D41" i="8" l="1"/>
  <c r="D42" i="8"/>
  <c r="D43" i="8"/>
  <c r="D44" i="8"/>
  <c r="D45" i="8"/>
  <c r="D46" i="8"/>
  <c r="D47" i="8"/>
  <c r="C41" i="8"/>
  <c r="C42" i="8"/>
  <c r="C43" i="8"/>
  <c r="C44" i="8"/>
  <c r="C45" i="8"/>
  <c r="C46" i="8"/>
  <c r="C47" i="8"/>
  <c r="D32" i="8" l="1"/>
  <c r="D33" i="8"/>
  <c r="D34" i="8"/>
  <c r="D35" i="8"/>
  <c r="D36" i="8"/>
  <c r="D37" i="8"/>
  <c r="D38" i="8"/>
  <c r="C32" i="8"/>
  <c r="C33" i="8"/>
  <c r="C34" i="8"/>
  <c r="C35" i="8"/>
  <c r="C36" i="8"/>
  <c r="C37" i="8"/>
  <c r="C38" i="8"/>
  <c r="D24" i="8" l="1"/>
  <c r="D17" i="8"/>
  <c r="D3" i="8"/>
  <c r="D4" i="8"/>
  <c r="D5" i="8"/>
  <c r="D6" i="8"/>
  <c r="D7" i="8"/>
  <c r="D8" i="8"/>
  <c r="D9" i="8"/>
  <c r="D10" i="8"/>
  <c r="D11" i="8"/>
  <c r="D12" i="8"/>
  <c r="D13" i="8"/>
  <c r="D14" i="8"/>
  <c r="D15" i="8"/>
  <c r="D16" i="8"/>
  <c r="D18" i="8"/>
  <c r="D19" i="8"/>
  <c r="D20" i="8"/>
  <c r="D21" i="8"/>
  <c r="D22" i="8"/>
  <c r="D23" i="8"/>
  <c r="C3" i="8"/>
  <c r="C4" i="8"/>
  <c r="C5" i="8"/>
  <c r="C6" i="8"/>
  <c r="C7" i="8"/>
  <c r="C8" i="8"/>
  <c r="C9" i="8"/>
  <c r="C10" i="8"/>
  <c r="C11" i="8"/>
  <c r="C12" i="8"/>
  <c r="C13" i="8"/>
  <c r="C14" i="8"/>
  <c r="C15" i="8"/>
  <c r="C16" i="8"/>
  <c r="C18" i="8"/>
  <c r="C19" i="8"/>
  <c r="C20" i="8"/>
  <c r="C21" i="8"/>
  <c r="C22" i="8"/>
  <c r="C23" i="8"/>
  <c r="E47" i="8" l="1"/>
  <c r="B47" i="8"/>
  <c r="A47" i="8"/>
  <c r="E46" i="8"/>
  <c r="B46" i="8"/>
  <c r="A46" i="8"/>
  <c r="E45" i="8"/>
  <c r="B45" i="8"/>
  <c r="A45" i="8"/>
  <c r="E44" i="8"/>
  <c r="B44" i="8"/>
  <c r="A44" i="8"/>
  <c r="E43" i="8"/>
  <c r="B43" i="8"/>
  <c r="A43" i="8"/>
  <c r="E42" i="8"/>
  <c r="B42" i="8"/>
  <c r="A42" i="8"/>
  <c r="E41" i="8"/>
  <c r="B41" i="8"/>
  <c r="A41" i="8"/>
  <c r="N63" i="3" s="1"/>
  <c r="A38" i="8"/>
  <c r="B38" i="8"/>
  <c r="E38" i="8"/>
  <c r="E37" i="8"/>
  <c r="B37" i="8"/>
  <c r="A37" i="8"/>
  <c r="E36" i="8"/>
  <c r="B36" i="8"/>
  <c r="A36" i="8"/>
  <c r="E35" i="8"/>
  <c r="B35" i="8"/>
  <c r="A35" i="8"/>
  <c r="E34" i="8"/>
  <c r="B34" i="8"/>
  <c r="A34" i="8"/>
  <c r="E33" i="8"/>
  <c r="B33" i="8"/>
  <c r="A33" i="8"/>
  <c r="E32" i="8"/>
  <c r="B32" i="8"/>
  <c r="A32" i="8"/>
  <c r="M63" i="3" s="1"/>
  <c r="A51" i="8"/>
  <c r="M6" i="3" l="1"/>
  <c r="M5" i="3"/>
  <c r="N6" i="3"/>
  <c r="N5" i="3"/>
  <c r="M49" i="3"/>
  <c r="M50" i="3"/>
  <c r="M44" i="3"/>
  <c r="M46" i="3"/>
  <c r="M48" i="3"/>
  <c r="M64" i="3"/>
  <c r="M65" i="3"/>
  <c r="M68" i="3"/>
  <c r="M9" i="3"/>
  <c r="M52" i="3"/>
  <c r="M54" i="3"/>
  <c r="M55" i="3"/>
  <c r="N49" i="3"/>
  <c r="N50" i="3"/>
  <c r="N44" i="3"/>
  <c r="N46" i="3"/>
  <c r="N48" i="3"/>
  <c r="N64" i="3"/>
  <c r="N65" i="3"/>
  <c r="N68" i="3"/>
  <c r="N9" i="3"/>
  <c r="N52" i="3"/>
  <c r="N54" i="3"/>
  <c r="N55" i="3"/>
  <c r="N37" i="3"/>
  <c r="M33" i="3"/>
  <c r="M37" i="3"/>
  <c r="N33" i="3"/>
  <c r="N57" i="3"/>
  <c r="N15" i="3"/>
  <c r="N22" i="3"/>
  <c r="N26" i="3"/>
  <c r="N29" i="3"/>
  <c r="N40" i="3"/>
  <c r="N10" i="3"/>
  <c r="N28" i="3"/>
  <c r="N14" i="3"/>
  <c r="N21" i="3"/>
  <c r="N61" i="3"/>
  <c r="N35" i="3"/>
  <c r="N41" i="3"/>
  <c r="N45" i="3"/>
  <c r="N39" i="3"/>
  <c r="N18" i="3"/>
  <c r="N13" i="3"/>
  <c r="N23" i="3"/>
  <c r="N7" i="3"/>
  <c r="N34" i="3"/>
  <c r="N42" i="3"/>
  <c r="N16" i="3"/>
  <c r="N58" i="3"/>
  <c r="N30" i="3"/>
  <c r="N8" i="3"/>
  <c r="N31" i="3"/>
  <c r="N47" i="3"/>
  <c r="N12" i="3"/>
  <c r="N36" i="3"/>
  <c r="N56" i="3"/>
  <c r="N17" i="3"/>
  <c r="N25" i="3"/>
  <c r="N43" i="3"/>
  <c r="N38" i="3"/>
  <c r="N20" i="3"/>
  <c r="N24" i="3"/>
  <c r="N51" i="3"/>
  <c r="N66" i="3"/>
  <c r="N60" i="3"/>
  <c r="N11" i="3"/>
  <c r="N19" i="3"/>
  <c r="N27" i="3"/>
  <c r="N32" i="3"/>
  <c r="N59" i="3"/>
  <c r="N53" i="3"/>
  <c r="M57" i="3"/>
  <c r="M15" i="3"/>
  <c r="M22" i="3"/>
  <c r="M26" i="3"/>
  <c r="M29" i="3"/>
  <c r="M36" i="3"/>
  <c r="M56" i="3"/>
  <c r="M16" i="3"/>
  <c r="M42" i="3"/>
  <c r="M20" i="3"/>
  <c r="M31" i="3"/>
  <c r="M19" i="3"/>
  <c r="M12" i="3"/>
  <c r="M32" i="3"/>
  <c r="M59" i="3"/>
  <c r="M14" i="3"/>
  <c r="M21" i="3"/>
  <c r="M61" i="3"/>
  <c r="M35" i="3"/>
  <c r="M40" i="3"/>
  <c r="M10" i="3"/>
  <c r="M25" i="3"/>
  <c r="M8" i="3"/>
  <c r="M24" i="3"/>
  <c r="M43" i="3"/>
  <c r="M27" i="3"/>
  <c r="M66" i="3"/>
  <c r="M18" i="3"/>
  <c r="M53" i="3"/>
  <c r="M13" i="3"/>
  <c r="M23" i="3"/>
  <c r="M7" i="3"/>
  <c r="M41" i="3"/>
  <c r="M45" i="3"/>
  <c r="M39" i="3"/>
  <c r="M58" i="3"/>
  <c r="M34" i="3"/>
  <c r="M17" i="3"/>
  <c r="M30" i="3"/>
  <c r="M38" i="3"/>
  <c r="M51" i="3"/>
  <c r="M47" i="3"/>
  <c r="M11" i="3"/>
  <c r="M60" i="3"/>
  <c r="M28" i="3"/>
  <c r="M4" i="3"/>
  <c r="M3" i="3"/>
  <c r="N4" i="3"/>
  <c r="N3" i="3"/>
  <c r="A77" i="8" l="1"/>
  <c r="B77" i="8"/>
  <c r="E77" i="8"/>
  <c r="A76" i="8" l="1"/>
  <c r="B76" i="8"/>
  <c r="E76" i="8"/>
  <c r="A61" i="8" l="1"/>
  <c r="A59" i="8"/>
  <c r="A60" i="8"/>
  <c r="A63" i="8"/>
  <c r="A64" i="8"/>
  <c r="B59" i="8"/>
  <c r="B60" i="8"/>
  <c r="B63" i="8"/>
  <c r="B64" i="8"/>
  <c r="E59" i="8"/>
  <c r="E60" i="8"/>
  <c r="E63" i="8"/>
  <c r="E64" i="8"/>
  <c r="E19" i="5" l="1"/>
  <c r="E20" i="5" s="1"/>
  <c r="E22" i="5"/>
  <c r="E23" i="5" s="1"/>
  <c r="E16" i="5"/>
  <c r="E17" i="5" s="1"/>
  <c r="E13" i="5"/>
  <c r="E14" i="5" s="1"/>
  <c r="E75" i="8" l="1"/>
  <c r="B75" i="8"/>
  <c r="A75" i="8"/>
  <c r="E74" i="8"/>
  <c r="B74" i="8"/>
  <c r="A74" i="8"/>
  <c r="E73" i="8"/>
  <c r="B73" i="8"/>
  <c r="A73" i="8"/>
  <c r="E72" i="8"/>
  <c r="B72" i="8"/>
  <c r="A72" i="8"/>
  <c r="Q63" i="3" l="1"/>
  <c r="Q6" i="3"/>
  <c r="Q5" i="3"/>
  <c r="Q49" i="3"/>
  <c r="Q50" i="3"/>
  <c r="Q44" i="3"/>
  <c r="Q46" i="3"/>
  <c r="Q48" i="3"/>
  <c r="Q64" i="3"/>
  <c r="Q65" i="3"/>
  <c r="Q68" i="3"/>
  <c r="Q9" i="3"/>
  <c r="Q52" i="3"/>
  <c r="Q54" i="3"/>
  <c r="Q55" i="3"/>
  <c r="Q37" i="3"/>
  <c r="Q33" i="3"/>
  <c r="Q57" i="3"/>
  <c r="Q38" i="3"/>
  <c r="Q11" i="3"/>
  <c r="Q12" i="3"/>
  <c r="Q15" i="3"/>
  <c r="Q14" i="3"/>
  <c r="Q13" i="3"/>
  <c r="Q16" i="3"/>
  <c r="Q17" i="3"/>
  <c r="Q20" i="3"/>
  <c r="Q19" i="3"/>
  <c r="Q18" i="3"/>
  <c r="Q22" i="3"/>
  <c r="Q21" i="3"/>
  <c r="Q23" i="3"/>
  <c r="Q58" i="3"/>
  <c r="Q25" i="3"/>
  <c r="Q24" i="3"/>
  <c r="Q27" i="3"/>
  <c r="Q28" i="3"/>
  <c r="Q26" i="3"/>
  <c r="Q61" i="3"/>
  <c r="Q7" i="3"/>
  <c r="Q51" i="3"/>
  <c r="Q53" i="3"/>
  <c r="Q29" i="3"/>
  <c r="Q35" i="3"/>
  <c r="Q34" i="3"/>
  <c r="Q30" i="3"/>
  <c r="Q31" i="3"/>
  <c r="Q32" i="3"/>
  <c r="Q36" i="3"/>
  <c r="Q40" i="3"/>
  <c r="Q41" i="3"/>
  <c r="Q42" i="3"/>
  <c r="Q8" i="3"/>
  <c r="Q43" i="3"/>
  <c r="Q66" i="3"/>
  <c r="Q45" i="3"/>
  <c r="Q47" i="3"/>
  <c r="Q60" i="3"/>
  <c r="Q59" i="3"/>
  <c r="Q56" i="3"/>
  <c r="Q10" i="3"/>
  <c r="Q39" i="3"/>
  <c r="Q4" i="3"/>
  <c r="Q3" i="3"/>
  <c r="C52" i="5" l="1"/>
  <c r="F52" i="5"/>
  <c r="G52" i="5"/>
  <c r="D52" i="5"/>
  <c r="G55" i="5"/>
  <c r="F55" i="5"/>
  <c r="D55" i="5"/>
  <c r="C55" i="5"/>
  <c r="D50" i="5"/>
  <c r="C50" i="5"/>
  <c r="G50" i="5"/>
  <c r="F50" i="5"/>
  <c r="D58" i="5"/>
  <c r="C58" i="5"/>
  <c r="G58" i="5"/>
  <c r="F58" i="5"/>
  <c r="G53" i="5"/>
  <c r="F53" i="5"/>
  <c r="C53" i="5"/>
  <c r="D53" i="5"/>
  <c r="D56" i="5"/>
  <c r="C56" i="5"/>
  <c r="G56" i="5"/>
  <c r="F56" i="5"/>
  <c r="G49" i="5"/>
  <c r="C49" i="5"/>
  <c r="D49" i="5"/>
  <c r="F49" i="5"/>
  <c r="G59" i="5"/>
  <c r="C59" i="5"/>
  <c r="D59" i="5"/>
  <c r="F59" i="5"/>
  <c r="G63" i="5"/>
  <c r="C63" i="5" l="1"/>
  <c r="D63" i="5"/>
  <c r="F63" i="5"/>
  <c r="B63" i="5"/>
  <c r="E61" i="8" l="1"/>
  <c r="B61" i="8"/>
  <c r="E62" i="8"/>
  <c r="B62" i="8"/>
  <c r="A62" i="8"/>
  <c r="E58" i="8"/>
  <c r="B58" i="8"/>
  <c r="A58" i="8"/>
  <c r="E65" i="8"/>
  <c r="B65" i="8"/>
  <c r="A65" i="8"/>
  <c r="P63" i="3" l="1"/>
  <c r="P6" i="3"/>
  <c r="P5" i="3"/>
  <c r="P49" i="3"/>
  <c r="P50" i="3"/>
  <c r="P44" i="3"/>
  <c r="P46" i="3"/>
  <c r="P48" i="3"/>
  <c r="P64" i="3"/>
  <c r="P65" i="3"/>
  <c r="P68" i="3"/>
  <c r="P9" i="3"/>
  <c r="P52" i="3"/>
  <c r="P54" i="3"/>
  <c r="P55" i="3"/>
  <c r="P37" i="3"/>
  <c r="P33" i="3"/>
  <c r="P57" i="3"/>
  <c r="P38" i="3"/>
  <c r="P11" i="3"/>
  <c r="P12" i="3"/>
  <c r="P15" i="3"/>
  <c r="P14" i="3"/>
  <c r="P13" i="3"/>
  <c r="P16" i="3"/>
  <c r="P17" i="3"/>
  <c r="P20" i="3"/>
  <c r="P19" i="3"/>
  <c r="P18" i="3"/>
  <c r="P22" i="3"/>
  <c r="P21" i="3"/>
  <c r="P23" i="3"/>
  <c r="P58" i="3"/>
  <c r="P25" i="3"/>
  <c r="P24" i="3"/>
  <c r="P27" i="3"/>
  <c r="P28" i="3"/>
  <c r="P26" i="3"/>
  <c r="P61" i="3"/>
  <c r="P7" i="3"/>
  <c r="P51" i="3"/>
  <c r="P53" i="3"/>
  <c r="P29" i="3"/>
  <c r="P35" i="3"/>
  <c r="P34" i="3"/>
  <c r="P30" i="3"/>
  <c r="P31" i="3"/>
  <c r="P32" i="3"/>
  <c r="P36" i="3"/>
  <c r="P40" i="3"/>
  <c r="P41" i="3"/>
  <c r="P42" i="3"/>
  <c r="P8" i="3"/>
  <c r="P43" i="3"/>
  <c r="P66" i="3"/>
  <c r="P45" i="3"/>
  <c r="P47" i="3"/>
  <c r="P60" i="3"/>
  <c r="P59" i="3"/>
  <c r="P56" i="3"/>
  <c r="P10" i="3"/>
  <c r="P39" i="3"/>
  <c r="P4" i="3"/>
  <c r="P3" i="3"/>
  <c r="A25" i="8"/>
  <c r="A26" i="8"/>
  <c r="A27" i="8"/>
  <c r="A28" i="8"/>
  <c r="A29" i="8"/>
  <c r="B25" i="8"/>
  <c r="B26" i="8"/>
  <c r="B27" i="8"/>
  <c r="B28" i="8"/>
  <c r="B29" i="8"/>
  <c r="E25" i="8"/>
  <c r="E26" i="8"/>
  <c r="E27" i="8"/>
  <c r="E28" i="8"/>
  <c r="E29" i="8"/>
  <c r="A24" i="8"/>
  <c r="B24" i="8"/>
  <c r="E24" i="8"/>
  <c r="A3" i="8" l="1"/>
  <c r="A7" i="8"/>
  <c r="A8" i="8"/>
  <c r="A9" i="8"/>
  <c r="A10" i="8"/>
  <c r="A11" i="8"/>
  <c r="A12" i="8"/>
  <c r="A13" i="8"/>
  <c r="A14" i="8"/>
  <c r="A15" i="8"/>
  <c r="A16" i="8"/>
  <c r="A17" i="8"/>
  <c r="A18" i="8"/>
  <c r="A19" i="8"/>
  <c r="A20" i="8"/>
  <c r="A21" i="8"/>
  <c r="A22" i="8"/>
  <c r="A23" i="8"/>
  <c r="B7" i="8"/>
  <c r="B8" i="8"/>
  <c r="B9" i="8"/>
  <c r="B10" i="8"/>
  <c r="B11" i="8"/>
  <c r="B12" i="8"/>
  <c r="B13" i="8"/>
  <c r="B14" i="8"/>
  <c r="B15" i="8"/>
  <c r="B16" i="8"/>
  <c r="B17" i="8"/>
  <c r="B18" i="8"/>
  <c r="B19" i="8"/>
  <c r="B20" i="8"/>
  <c r="B21" i="8"/>
  <c r="B22" i="8"/>
  <c r="B23" i="8"/>
  <c r="E7" i="8"/>
  <c r="E8" i="8"/>
  <c r="E9" i="8"/>
  <c r="E10" i="8"/>
  <c r="E11" i="8"/>
  <c r="E12" i="8"/>
  <c r="E13" i="8"/>
  <c r="E14" i="8"/>
  <c r="E15" i="8"/>
  <c r="E16" i="8"/>
  <c r="E17" i="8"/>
  <c r="E18" i="8"/>
  <c r="E19" i="8"/>
  <c r="E20" i="8"/>
  <c r="E21" i="8"/>
  <c r="E22" i="8"/>
  <c r="E23" i="8"/>
  <c r="L38" i="3" l="1"/>
  <c r="B50" i="8"/>
  <c r="E50" i="8"/>
  <c r="E51" i="8"/>
  <c r="E52" i="8"/>
  <c r="E53" i="8"/>
  <c r="E54" i="8"/>
  <c r="E55" i="8"/>
  <c r="B51" i="8"/>
  <c r="B52" i="8"/>
  <c r="B53" i="8"/>
  <c r="B54" i="8"/>
  <c r="B55" i="8"/>
  <c r="A50" i="8"/>
  <c r="A52" i="8"/>
  <c r="A53" i="8"/>
  <c r="A54" i="8"/>
  <c r="A55" i="8"/>
  <c r="E3" i="8"/>
  <c r="E4" i="8"/>
  <c r="E5" i="8"/>
  <c r="E6" i="8"/>
  <c r="B3" i="8"/>
  <c r="B4" i="8"/>
  <c r="B5" i="8"/>
  <c r="B6" i="8"/>
  <c r="A4" i="8"/>
  <c r="A5" i="8"/>
  <c r="A6" i="8"/>
  <c r="L63" i="3" l="1"/>
  <c r="O63" i="3"/>
  <c r="L6" i="3"/>
  <c r="L5" i="3"/>
  <c r="O6" i="3"/>
  <c r="O5" i="3"/>
  <c r="L49" i="3"/>
  <c r="L50" i="3"/>
  <c r="L44" i="3"/>
  <c r="L46" i="3"/>
  <c r="L48" i="3"/>
  <c r="L64" i="3"/>
  <c r="L65" i="3"/>
  <c r="L68" i="3"/>
  <c r="L9" i="3"/>
  <c r="L52" i="3"/>
  <c r="L54" i="3"/>
  <c r="L55" i="3"/>
  <c r="O49" i="3"/>
  <c r="O50" i="3"/>
  <c r="O44" i="3"/>
  <c r="O46" i="3"/>
  <c r="O48" i="3"/>
  <c r="O64" i="3"/>
  <c r="O65" i="3"/>
  <c r="O68" i="3"/>
  <c r="O9" i="3"/>
  <c r="O52" i="3"/>
  <c r="O54" i="3"/>
  <c r="O55" i="3"/>
  <c r="L37" i="3"/>
  <c r="O37" i="3"/>
  <c r="L33" i="3"/>
  <c r="L11" i="3"/>
  <c r="L12" i="3"/>
  <c r="O33" i="3"/>
  <c r="O57" i="3"/>
  <c r="O3" i="3"/>
  <c r="O4" i="3"/>
  <c r="O38" i="3"/>
  <c r="O11" i="3"/>
  <c r="O12" i="3"/>
  <c r="O15" i="3"/>
  <c r="O14" i="3"/>
  <c r="O13" i="3"/>
  <c r="O16" i="3"/>
  <c r="O17" i="3"/>
  <c r="O20" i="3"/>
  <c r="O19" i="3"/>
  <c r="O18" i="3"/>
  <c r="O22" i="3"/>
  <c r="O21" i="3"/>
  <c r="O23" i="3"/>
  <c r="O58" i="3"/>
  <c r="O25" i="3"/>
  <c r="O24" i="3"/>
  <c r="O27" i="3"/>
  <c r="O28" i="3"/>
  <c r="O26" i="3"/>
  <c r="O61" i="3"/>
  <c r="O7" i="3"/>
  <c r="O51" i="3"/>
  <c r="O53" i="3"/>
  <c r="O29" i="3"/>
  <c r="O35" i="3"/>
  <c r="O34" i="3"/>
  <c r="O30" i="3"/>
  <c r="O31" i="3"/>
  <c r="O32" i="3"/>
  <c r="O36" i="3"/>
  <c r="O40" i="3"/>
  <c r="O41" i="3"/>
  <c r="O42" i="3"/>
  <c r="O8" i="3"/>
  <c r="O43" i="3"/>
  <c r="O66" i="3"/>
  <c r="O45" i="3"/>
  <c r="O47" i="3"/>
  <c r="O60" i="3"/>
  <c r="O59" i="3"/>
  <c r="O56" i="3"/>
  <c r="O10" i="3"/>
  <c r="O39" i="3"/>
  <c r="L57" i="3"/>
  <c r="L16" i="3"/>
  <c r="L58" i="3"/>
  <c r="L34" i="3"/>
  <c r="L42" i="3"/>
  <c r="L30" i="3"/>
  <c r="L8" i="3"/>
  <c r="L32" i="3"/>
  <c r="L7" i="3"/>
  <c r="L17" i="3"/>
  <c r="L25" i="3"/>
  <c r="L20" i="3"/>
  <c r="L24" i="3"/>
  <c r="L51" i="3"/>
  <c r="L31" i="3"/>
  <c r="L43" i="3"/>
  <c r="L47" i="3"/>
  <c r="L18" i="3"/>
  <c r="L59" i="3"/>
  <c r="L41" i="3"/>
  <c r="L19" i="3"/>
  <c r="L27" i="3"/>
  <c r="L66" i="3"/>
  <c r="L60" i="3"/>
  <c r="L28" i="3"/>
  <c r="L53" i="3"/>
  <c r="L45" i="3"/>
  <c r="L15" i="3"/>
  <c r="L22" i="3"/>
  <c r="L26" i="3"/>
  <c r="L29" i="3"/>
  <c r="L36" i="3"/>
  <c r="L56" i="3"/>
  <c r="L21" i="3"/>
  <c r="L61" i="3"/>
  <c r="L35" i="3"/>
  <c r="L40" i="3"/>
  <c r="L10" i="3"/>
  <c r="L13" i="3"/>
  <c r="L23" i="3"/>
  <c r="L39" i="3"/>
  <c r="L14" i="3"/>
  <c r="L4" i="3"/>
  <c r="L3" i="3"/>
  <c r="C44" i="5" l="1"/>
  <c r="F44" i="5"/>
  <c r="G44" i="5"/>
  <c r="B44" i="5"/>
  <c r="D44" i="5"/>
  <c r="B46" i="5"/>
  <c r="F46" i="5"/>
  <c r="G46" i="5"/>
  <c r="D46" i="5"/>
  <c r="C46" i="5"/>
  <c r="B40" i="5"/>
  <c r="C40" i="5"/>
  <c r="G40" i="5"/>
  <c r="F40" i="5"/>
  <c r="D40" i="5"/>
  <c r="D47" i="5"/>
  <c r="B47" i="5"/>
  <c r="C47" i="5"/>
  <c r="F47" i="5"/>
  <c r="G47" i="5"/>
  <c r="D43" i="5"/>
  <c r="B43" i="5"/>
  <c r="C43" i="5"/>
  <c r="F43" i="5"/>
  <c r="G43" i="5"/>
  <c r="C38" i="5"/>
  <c r="G38" i="5"/>
  <c r="D38" i="5"/>
  <c r="F38" i="5"/>
  <c r="B38" i="5"/>
  <c r="C41" i="5"/>
  <c r="G41" i="5"/>
  <c r="F41" i="5"/>
  <c r="B41" i="5"/>
  <c r="D41" i="5"/>
  <c r="D37" i="5"/>
  <c r="F37" i="5"/>
  <c r="B37" i="5"/>
  <c r="C37" i="5"/>
  <c r="G37" i="5"/>
  <c r="F28" i="5" l="1"/>
  <c r="C28" i="5"/>
  <c r="G28" i="5"/>
  <c r="D28" i="5"/>
  <c r="B28" i="5"/>
  <c r="G19" i="5"/>
  <c r="F19" i="5"/>
  <c r="D19" i="5"/>
  <c r="C19" i="5"/>
  <c r="B19" i="5"/>
  <c r="G25" i="5"/>
  <c r="F25" i="5"/>
  <c r="D25" i="5"/>
  <c r="C25" i="5"/>
  <c r="B25" i="5"/>
  <c r="G17" i="5"/>
  <c r="F17" i="5"/>
  <c r="D17" i="5"/>
  <c r="C17" i="5"/>
  <c r="B17" i="5"/>
  <c r="G35" i="5"/>
  <c r="F35" i="5"/>
  <c r="D35" i="5"/>
  <c r="C35" i="5"/>
  <c r="B35" i="5"/>
  <c r="G20" i="5"/>
  <c r="F20" i="5"/>
  <c r="D20" i="5"/>
  <c r="C20" i="5"/>
  <c r="B20" i="5"/>
  <c r="G13" i="5"/>
  <c r="F13" i="5"/>
  <c r="D13" i="5"/>
  <c r="C13" i="5"/>
  <c r="B13" i="5"/>
  <c r="F16" i="5"/>
  <c r="B16" i="5"/>
  <c r="C16" i="5"/>
  <c r="G16" i="5"/>
  <c r="D16" i="5"/>
  <c r="G22" i="5"/>
  <c r="F22" i="5"/>
  <c r="D22" i="5"/>
  <c r="C22" i="5"/>
  <c r="B22" i="5"/>
  <c r="F26" i="5"/>
  <c r="C26" i="5"/>
  <c r="G26" i="5"/>
  <c r="D26" i="5"/>
  <c r="B26" i="5"/>
  <c r="F29" i="5"/>
  <c r="G29" i="5"/>
  <c r="D29" i="5"/>
  <c r="C29" i="5"/>
  <c r="B29" i="5"/>
  <c r="G31" i="5"/>
  <c r="F31" i="5"/>
  <c r="D31" i="5"/>
  <c r="C31" i="5"/>
  <c r="B31" i="5"/>
  <c r="B14" i="5"/>
  <c r="C14" i="5"/>
  <c r="G14" i="5"/>
  <c r="D14" i="5"/>
  <c r="F14" i="5"/>
  <c r="G32" i="5"/>
  <c r="F32" i="5"/>
  <c r="D32" i="5"/>
  <c r="C32" i="5"/>
  <c r="B32" i="5"/>
  <c r="G34" i="5"/>
  <c r="F34" i="5"/>
  <c r="D34" i="5"/>
  <c r="C34" i="5"/>
  <c r="B34" i="5"/>
  <c r="G23" i="5"/>
  <c r="F23" i="5"/>
  <c r="D23" i="5"/>
  <c r="C23" i="5"/>
  <c r="B23" i="5"/>
</calcChain>
</file>

<file path=xl/sharedStrings.xml><?xml version="1.0" encoding="utf-8"?>
<sst xmlns="http://schemas.openxmlformats.org/spreadsheetml/2006/main" count="1819" uniqueCount="439">
  <si>
    <t>UDC</t>
  </si>
  <si>
    <t>Ver</t>
  </si>
  <si>
    <t>OUA Cd</t>
  </si>
  <si>
    <t>Unit Title</t>
  </si>
  <si>
    <t>Study Period</t>
  </si>
  <si>
    <t>Pre-reqs</t>
  </si>
  <si>
    <t>Credits</t>
  </si>
  <si>
    <t>Availabilities</t>
  </si>
  <si>
    <t>Progress Notes</t>
  </si>
  <si>
    <r>
      <t>Curtin University</t>
    </r>
    <r>
      <rPr>
        <sz val="11"/>
        <color theme="0"/>
        <rFont val="Arial"/>
        <family val="2"/>
      </rPr>
      <t xml:space="preserve">
School of Design and the Built Environment</t>
    </r>
  </si>
  <si>
    <t>2025 Full-Time Enrolment Planner</t>
  </si>
  <si>
    <t>Student Name:</t>
  </si>
  <si>
    <t xml:space="preserve">Student ID: </t>
  </si>
  <si>
    <t>Course:</t>
  </si>
  <si>
    <t>Bachelor of Applied Science (Construction Management) (OpenUnis)</t>
  </si>
  <si>
    <t>Stream:</t>
  </si>
  <si>
    <t>Honours Construction Management Stream (OUA)</t>
  </si>
  <si>
    <t>Specialisation:</t>
  </si>
  <si>
    <t>Interior Architecture Specialisation (OpenUnis)</t>
  </si>
  <si>
    <t>Specialisation version:</t>
  </si>
  <si>
    <t>Commencing:</t>
  </si>
  <si>
    <t>Study Period 1 (February - May)</t>
  </si>
  <si>
    <t>Credits to Complete:</t>
  </si>
  <si>
    <t>2025 Availabilities</t>
  </si>
  <si>
    <t>Year 1</t>
  </si>
  <si>
    <t>OUA Code</t>
  </si>
  <si>
    <t>Study 
Period</t>
  </si>
  <si>
    <t>Pre Requisite(s)</t>
  </si>
  <si>
    <t>CP</t>
  </si>
  <si>
    <t>SP1</t>
  </si>
  <si>
    <t>SP2</t>
  </si>
  <si>
    <t>SP3</t>
  </si>
  <si>
    <t>SP4</t>
  </si>
  <si>
    <t>Notes / Progress</t>
  </si>
  <si>
    <t>Year 2</t>
  </si>
  <si>
    <t>Year 3</t>
  </si>
  <si>
    <t>Year 4</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</si>
  <si>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</si>
  <si>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</si>
  <si>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</si>
  <si>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</si>
  <si>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RangeUnitSets</t>
  </si>
  <si>
    <t>OSCU-ANGADSP1</t>
  </si>
  <si>
    <t>OSCU-ANGADSP2</t>
  </si>
  <si>
    <t>OSCU-ANGADSP3</t>
  </si>
  <si>
    <t>OSCU-ANGADSP4</t>
  </si>
  <si>
    <t>OSCU-INARSSP1</t>
  </si>
  <si>
    <t>OSCU-INARSSP2</t>
  </si>
  <si>
    <t>OSCU-INARSSP3</t>
  </si>
  <si>
    <t>OSCU-INARSSP4</t>
  </si>
  <si>
    <t>OSCU-PLGEOSP1</t>
  </si>
  <si>
    <t>OSCU-PLGEOSP2</t>
  </si>
  <si>
    <t>OSCU-PLGEOSP3</t>
  </si>
  <si>
    <t>OSCU-PLGEOSP4</t>
  </si>
  <si>
    <t>Y1SP1</t>
  </si>
  <si>
    <t>COMS1007</t>
  </si>
  <si>
    <t>Y1SP2</t>
  </si>
  <si>
    <t>BLDG1019</t>
  </si>
  <si>
    <t>Y1SP3</t>
  </si>
  <si>
    <t>Y1SP4</t>
  </si>
  <si>
    <t>TableCourses</t>
  </si>
  <si>
    <t>BLDG1005</t>
  </si>
  <si>
    <t>BLDG1009</t>
  </si>
  <si>
    <t>Choose your Construction Management Course (drop-down list)</t>
  </si>
  <si>
    <t>SM Version</t>
  </si>
  <si>
    <t>SM Effective Date</t>
  </si>
  <si>
    <t>Akari Iteration</t>
  </si>
  <si>
    <t>Akari Effective Date</t>
  </si>
  <si>
    <t>Credit Points</t>
  </si>
  <si>
    <t>SM Availabilities</t>
  </si>
  <si>
    <t>OB-CONMN</t>
  </si>
  <si>
    <t>v.2</t>
  </si>
  <si>
    <t>800 credit points required</t>
  </si>
  <si>
    <t>SP1; SP2; SP3; SP4</t>
  </si>
  <si>
    <t>Bachelor of Applied Science (Construction Management) (OpenUnis CSP)</t>
  </si>
  <si>
    <t>OU-CONMN</t>
  </si>
  <si>
    <t>BLDG1017</t>
  </si>
  <si>
    <t>ARCH1021</t>
  </si>
  <si>
    <t>BLDG1006</t>
  </si>
  <si>
    <t>BLDG1008</t>
  </si>
  <si>
    <t>TableStudyPeriod</t>
  </si>
  <si>
    <t>Choose your commencing study period (drop-down list)</t>
  </si>
  <si>
    <t>START</t>
  </si>
  <si>
    <t>Next</t>
  </si>
  <si>
    <t>Next2</t>
  </si>
  <si>
    <t>Next3</t>
  </si>
  <si>
    <t>Y2SP1</t>
  </si>
  <si>
    <t>BLDG2026</t>
  </si>
  <si>
    <t>Y2SP2</t>
  </si>
  <si>
    <t>BLDG2021</t>
  </si>
  <si>
    <t>Y2SP3</t>
  </si>
  <si>
    <t>Y2SP4</t>
  </si>
  <si>
    <t>Study Period 2 (May - August)</t>
  </si>
  <si>
    <t>BLDG2027</t>
  </si>
  <si>
    <t>Spec</t>
  </si>
  <si>
    <t>BLDG2034</t>
  </si>
  <si>
    <t>Study Period 3 (August - November)</t>
  </si>
  <si>
    <t>Study Period 4 (November - February)</t>
  </si>
  <si>
    <t>BLDG2028</t>
  </si>
  <si>
    <t>BLDG2016</t>
  </si>
  <si>
    <t>TableStream</t>
  </si>
  <si>
    <t>Choose your Stream (drop-down list)</t>
  </si>
  <si>
    <t>OUSH-CONMN</t>
  </si>
  <si>
    <t>200 credit points</t>
  </si>
  <si>
    <t>Sequencing Q's for Vas:</t>
  </si>
  <si>
    <t>Construction Management Fourth Year Stream (OUA)</t>
  </si>
  <si>
    <t>OUSU-CONMN</t>
  </si>
  <si>
    <t>For SP2 &amp; SP4 commencing students</t>
  </si>
  <si>
    <t>Y3SP1</t>
  </si>
  <si>
    <t>BLDG3035</t>
  </si>
  <si>
    <t>Y3SP2</t>
  </si>
  <si>
    <t>BLDG3031</t>
  </si>
  <si>
    <t>Y3SP3</t>
  </si>
  <si>
    <t>Y3SP4</t>
  </si>
  <si>
    <t>BLDG3029</t>
  </si>
  <si>
    <t>do you want to swap BLDG3026 CME307</t>
  </si>
  <si>
    <t>TableSpecialisations</t>
  </si>
  <si>
    <t>and BLDG3031 CME390? Ref Vas's</t>
  </si>
  <si>
    <t>BLDG3026</t>
  </si>
  <si>
    <t>Choose your Specialisation (drop-down list)</t>
  </si>
  <si>
    <t>comments about pre-reqs for Constr</t>
  </si>
  <si>
    <t>Animation and Game Architecture Design Specialisation (OpenUnis)</t>
  </si>
  <si>
    <t>OSCU-ANGAD</t>
  </si>
  <si>
    <t>v.1</t>
  </si>
  <si>
    <t>100 credit points</t>
  </si>
  <si>
    <t>Contracts &amp; Procurement</t>
  </si>
  <si>
    <t>BLDG3033</t>
  </si>
  <si>
    <t>OSCU-INARS</t>
  </si>
  <si>
    <t>v.3</t>
  </si>
  <si>
    <t>URDE3011</t>
  </si>
  <si>
    <t>Planning and Geography Specialisation (OpenUnis)</t>
  </si>
  <si>
    <t>OSCU-PLGEO</t>
  </si>
  <si>
    <t>1)      Update high level course / component &amp; study period details (Unitsets Tab)</t>
  </si>
  <si>
    <t>2)      Update Planner page(s) to reference year of planner e.g. “2025” (Planner Tab)</t>
  </si>
  <si>
    <t>3)      Update structures (Structures Tab)</t>
  </si>
  <si>
    <t>RangeUnitSetsY4</t>
  </si>
  <si>
    <t>OUSU-CONMNSP1</t>
  </si>
  <si>
    <t>OUSU-CONMNSP2</t>
  </si>
  <si>
    <t>OUSU-CONMNSP3</t>
  </si>
  <si>
    <t>OUSU-CONMNSP4</t>
  </si>
  <si>
    <t>OUSH-CONMNSP1</t>
  </si>
  <si>
    <t>OUSH-CONMNSP2</t>
  </si>
  <si>
    <t>OUSH-CONMNSP3</t>
  </si>
  <si>
    <t>OUSH-CONMNSP4</t>
  </si>
  <si>
    <t>4)      Update Handbook unit list from updated structures (Handbook Tab)</t>
  </si>
  <si>
    <t>Y4SP1</t>
  </si>
  <si>
    <t>BLDG4024</t>
  </si>
  <si>
    <t>Y4SP2</t>
  </si>
  <si>
    <t>BLDG4035</t>
  </si>
  <si>
    <t>Y4SP3</t>
  </si>
  <si>
    <t>Y4SP4</t>
  </si>
  <si>
    <t>5)      Update Availabilities using updated Handbook unit list (Availabilities Tab)</t>
  </si>
  <si>
    <t>BLDG4020</t>
  </si>
  <si>
    <t>BLDG4029</t>
  </si>
  <si>
    <t>BLDG4002</t>
  </si>
  <si>
    <t>6)      Update Pre Requisites (Handbook Tab)</t>
  </si>
  <si>
    <t>7)      Update sequences for courses / components (Unitsets Tab)</t>
  </si>
  <si>
    <t>8)      Review Handbook Tab for obvious issues / errors and enter notes (Handbook Tab)</t>
  </si>
  <si>
    <t>BLDG4033</t>
  </si>
  <si>
    <t>BLDG4025</t>
  </si>
  <si>
    <t>BLDG4003</t>
  </si>
  <si>
    <t>9)      Review Planner Tab(s) for obvious issues / errors (Planner Tab)</t>
  </si>
  <si>
    <t>-</t>
  </si>
  <si>
    <t>BLDG4017</t>
  </si>
  <si>
    <t>50CP Unit</t>
  </si>
  <si>
    <t>RangeSpecSets</t>
  </si>
  <si>
    <t>Spec1</t>
  </si>
  <si>
    <t>-3-</t>
  </si>
  <si>
    <t>AC-INARS</t>
  </si>
  <si>
    <t>Spec2</t>
  </si>
  <si>
    <t>GRDE1022</t>
  </si>
  <si>
    <t>INAR1011</t>
  </si>
  <si>
    <t>URDE1007</t>
  </si>
  <si>
    <t>Spec3</t>
  </si>
  <si>
    <t>GRDE2036</t>
  </si>
  <si>
    <t>INAR1015</t>
  </si>
  <si>
    <t>URDE1008</t>
  </si>
  <si>
    <t>Spec4</t>
  </si>
  <si>
    <t>GRDE2042</t>
  </si>
  <si>
    <t>AND</t>
  </si>
  <si>
    <t>PHGY3001</t>
  </si>
  <si>
    <t>Spec5</t>
  </si>
  <si>
    <t>-2-</t>
  </si>
  <si>
    <t>Spec6</t>
  </si>
  <si>
    <t>AC-ANGAD</t>
  </si>
  <si>
    <t>INAR2023</t>
  </si>
  <si>
    <t>AC-PLGEO</t>
  </si>
  <si>
    <t>Spec7</t>
  </si>
  <si>
    <t>GRDE3033</t>
  </si>
  <si>
    <t>INAR3021</t>
  </si>
  <si>
    <t>GEOG3002</t>
  </si>
  <si>
    <t>Spec8</t>
  </si>
  <si>
    <t>WORK3002</t>
  </si>
  <si>
    <t>Spec9</t>
  </si>
  <si>
    <t>Opt-INARS</t>
  </si>
  <si>
    <t>Spec10</t>
  </si>
  <si>
    <t>INAR2015</t>
  </si>
  <si>
    <t>Spec11</t>
  </si>
  <si>
    <t>INAR2025</t>
  </si>
  <si>
    <t>Spec12</t>
  </si>
  <si>
    <t>WORK2006</t>
  </si>
  <si>
    <t>Spec13</t>
  </si>
  <si>
    <t>Spec14</t>
  </si>
  <si>
    <t>WORK3009</t>
  </si>
  <si>
    <t>Spec15</t>
  </si>
  <si>
    <t>Pre Req Issues</t>
  </si>
  <si>
    <t>Title</t>
  </si>
  <si>
    <t>Pre-reqs (8/10/2024)</t>
  </si>
  <si>
    <t>Notes</t>
  </si>
  <si>
    <t>Please note this is a Double (50CP) subject</t>
  </si>
  <si>
    <t>--</t>
  </si>
  <si>
    <t>Not relevant to this study sequence</t>
  </si>
  <si>
    <t>Study both:</t>
  </si>
  <si>
    <t>Keep - header for SPEC table</t>
  </si>
  <si>
    <t>Study all three of:</t>
  </si>
  <si>
    <t>4th Year Stream</t>
  </si>
  <si>
    <t>Alternate Cores for OUSU-CONMN Construction Management Fourth Year Stream (OpenUnis)</t>
  </si>
  <si>
    <t>Study either DIG39 or WBP300</t>
  </si>
  <si>
    <t>Study either BIA140 or BIA170</t>
  </si>
  <si>
    <t>Study either GPH320 or WBP300</t>
  </si>
  <si>
    <t>BAS145</t>
  </si>
  <si>
    <t>Architecture and Interior Architecture Methods 1B - Digital Literacy</t>
  </si>
  <si>
    <t>Nil</t>
  </si>
  <si>
    <t>CME101</t>
  </si>
  <si>
    <t>Low Rise Construction</t>
  </si>
  <si>
    <t>CME106</t>
  </si>
  <si>
    <t>High-rise Construction</t>
  </si>
  <si>
    <t>CME104</t>
  </si>
  <si>
    <t>Structures</t>
  </si>
  <si>
    <t>CME103</t>
  </si>
  <si>
    <t>Introduction to Management in Construction</t>
  </si>
  <si>
    <t>CME180</t>
  </si>
  <si>
    <t>Building Construction Measurement</t>
  </si>
  <si>
    <t>CME190</t>
  </si>
  <si>
    <t>Health, Safety and Quality in the Built Environment</t>
  </si>
  <si>
    <t>CME204</t>
  </si>
  <si>
    <t>Building Services</t>
  </si>
  <si>
    <t>CME203</t>
  </si>
  <si>
    <t>Specialised Construction</t>
  </si>
  <si>
    <t>CME202</t>
  </si>
  <si>
    <t>Construction Plant and Equipment</t>
  </si>
  <si>
    <t>150CP</t>
  </si>
  <si>
    <t>CME206</t>
  </si>
  <si>
    <t>Building Surveying</t>
  </si>
  <si>
    <t>CME205</t>
  </si>
  <si>
    <t>Building Information Management and Modelling</t>
  </si>
  <si>
    <t>CME215</t>
  </si>
  <si>
    <t>Construction Estimating and Cost Planning</t>
  </si>
  <si>
    <t>CME180 or CME201</t>
  </si>
  <si>
    <t>CME307</t>
  </si>
  <si>
    <t>Cost Management</t>
  </si>
  <si>
    <t>CME215 or CME208</t>
  </si>
  <si>
    <t>CME306</t>
  </si>
  <si>
    <t>Construction Planning and Scheduling</t>
  </si>
  <si>
    <t>CME390</t>
  </si>
  <si>
    <t>350CP</t>
  </si>
  <si>
    <t>CME315</t>
  </si>
  <si>
    <t>CME205 + CME306</t>
  </si>
  <si>
    <t>CME325</t>
  </si>
  <si>
    <t>Sustainable Construction Practices in Building and Infrastructure</t>
  </si>
  <si>
    <t>CME408</t>
  </si>
  <si>
    <t>Building Dissertation 1</t>
  </si>
  <si>
    <t>DBE300</t>
  </si>
  <si>
    <t>CME409</t>
  </si>
  <si>
    <t>Building Dissertation 2</t>
  </si>
  <si>
    <t>CME404</t>
  </si>
  <si>
    <t>Facilities and Asset Management</t>
  </si>
  <si>
    <t>500CP</t>
  </si>
  <si>
    <t>CME405</t>
  </si>
  <si>
    <t>CME403</t>
  </si>
  <si>
    <t>Integrated Construction Project 1</t>
  </si>
  <si>
    <t>CME390 or CME303</t>
  </si>
  <si>
    <t>CME402</t>
  </si>
  <si>
    <t>CME415</t>
  </si>
  <si>
    <t>Contract Administration</t>
  </si>
  <si>
    <t>CME390 or CME309</t>
  </si>
  <si>
    <t>CME417</t>
  </si>
  <si>
    <t>Integrated Construction Project 2</t>
  </si>
  <si>
    <t>CME425</t>
  </si>
  <si>
    <t>Engineering Measurement</t>
  </si>
  <si>
    <t>APC100</t>
  </si>
  <si>
    <t>Academic and Professional Communications</t>
  </si>
  <si>
    <t>GPH320</t>
  </si>
  <si>
    <t>Urban Geographies</t>
  </si>
  <si>
    <t>DIG10</t>
  </si>
  <si>
    <t>Game Design Introduction</t>
  </si>
  <si>
    <t>DIG230</t>
  </si>
  <si>
    <t>Introduction to 3D Modelling and Rendering</t>
  </si>
  <si>
    <t>DIG10 or DIG100</t>
  </si>
  <si>
    <t>DIG28</t>
  </si>
  <si>
    <t>Animation and Motion Graphics Design</t>
  </si>
  <si>
    <t>DIG39</t>
  </si>
  <si>
    <t>Industry Project Development</t>
  </si>
  <si>
    <t>DIG31 or DIG371 or DIG38</t>
  </si>
  <si>
    <t>Pre Req - OB-CONMN students can't do Pre Reqs</t>
  </si>
  <si>
    <t>BIA140</t>
  </si>
  <si>
    <t>Interior Architecture Studio - Foundation</t>
  </si>
  <si>
    <t>BIA170</t>
  </si>
  <si>
    <t>History of the Interior</t>
  </si>
  <si>
    <t>BIA250</t>
  </si>
  <si>
    <t>Interior Architecture Studio – Community</t>
  </si>
  <si>
    <t>BIA280</t>
  </si>
  <si>
    <t>Philosophy and Practice</t>
  </si>
  <si>
    <t>BIA290</t>
  </si>
  <si>
    <t>Design Fabrication</t>
  </si>
  <si>
    <t>BIA390</t>
  </si>
  <si>
    <t>Study one OPTION subject from:</t>
  </si>
  <si>
    <t/>
  </si>
  <si>
    <t>Pre Req issue for 1 unit</t>
  </si>
  <si>
    <t>GPH311</t>
  </si>
  <si>
    <t>Cultural Landscapes</t>
  </si>
  <si>
    <t>Study one subject from your chosen specialisation (see below)</t>
  </si>
  <si>
    <t>See below</t>
  </si>
  <si>
    <t>Specialisation</t>
  </si>
  <si>
    <t>Choose a Specialisation. You should enrol two units in Year 2 and two units in Year 3 of the selected specialisation</t>
  </si>
  <si>
    <t>URP100</t>
  </si>
  <si>
    <t>Governance for Planning</t>
  </si>
  <si>
    <t>URP110</t>
  </si>
  <si>
    <t>Introduction to Planning</t>
  </si>
  <si>
    <t>GOL200</t>
  </si>
  <si>
    <t>Changemakers Innovation Lab (with approval)</t>
  </si>
  <si>
    <t>Contact Course Coordinator</t>
  </si>
  <si>
    <t>New Version</t>
  </si>
  <si>
    <t>WORK2006.PO</t>
  </si>
  <si>
    <t>Sustainability and Innovation Foundations (with approval)</t>
  </si>
  <si>
    <t>Phasing Out</t>
  </si>
  <si>
    <t>WORK2007</t>
  </si>
  <si>
    <t>GOL210</t>
  </si>
  <si>
    <t>Regional Industry Placement 2 (with approval)</t>
  </si>
  <si>
    <t>Deactivated effective 31/12/2022, removed from list offered</t>
  </si>
  <si>
    <t>WBP300</t>
  </si>
  <si>
    <t>Work Based Project (with approval)</t>
  </si>
  <si>
    <t>GOG300</t>
  </si>
  <si>
    <t>Go Global - Internship 4 (with approval)</t>
  </si>
  <si>
    <t>Effective:</t>
  </si>
  <si>
    <t>Downloaded:</t>
  </si>
  <si>
    <t>V</t>
  </si>
  <si>
    <t>CPs</t>
  </si>
  <si>
    <t>No.</t>
  </si>
  <si>
    <t>Component Type</t>
  </si>
  <si>
    <t>Year Level</t>
  </si>
  <si>
    <t>Study Package Code</t>
  </si>
  <si>
    <t>Structure Line</t>
  </si>
  <si>
    <t>Effective</t>
  </si>
  <si>
    <t>Discont.</t>
  </si>
  <si>
    <t>Column1</t>
  </si>
  <si>
    <t>Column2</t>
  </si>
  <si>
    <t>Core</t>
  </si>
  <si>
    <t>NA</t>
  </si>
  <si>
    <t>APC100 - Academic and Professional Communications</t>
  </si>
  <si>
    <t>BAS145 Architecture and Interior Architecture Methods 1B - Digital Literacy</t>
  </si>
  <si>
    <t>CME101 Low Rise Construction</t>
  </si>
  <si>
    <t>CME103 Introduction to Management in Construction</t>
  </si>
  <si>
    <t>CME104 Structures</t>
  </si>
  <si>
    <t>CME106 High-rise Construction</t>
  </si>
  <si>
    <t>CME180 Building Construction Measurement</t>
  </si>
  <si>
    <t>CME190 Health, Safety and Quality in the Built Environment</t>
  </si>
  <si>
    <t>CME202 Construction Plant and Equipment</t>
  </si>
  <si>
    <t>CME203 Specialised Construction</t>
  </si>
  <si>
    <t>CME204 Building Services</t>
  </si>
  <si>
    <t>CME205 Building Information Management and Modelling</t>
  </si>
  <si>
    <t>CME206 Building Surveying</t>
  </si>
  <si>
    <t>CME215 Construction Estimating and Cost Planning</t>
  </si>
  <si>
    <t>Option</t>
  </si>
  <si>
    <t>CME306 Construction Planning and Scheduling</t>
  </si>
  <si>
    <t>CME307 Cost Management</t>
  </si>
  <si>
    <t>CME315 Virtual Design and Construction</t>
  </si>
  <si>
    <t>CME325 Sustainable Construction Practices in Building and Infrastructure</t>
  </si>
  <si>
    <t>CME390 Construction Contracts and Procurement</t>
  </si>
  <si>
    <t>DBE300 Design and Built Environment Research Methods</t>
  </si>
  <si>
    <t>AltCore</t>
  </si>
  <si>
    <t>Not Listed in SM</t>
  </si>
  <si>
    <t>CME408 Building Dissertation 1</t>
  </si>
  <si>
    <t>CME415 Contract Administration</t>
  </si>
  <si>
    <t>CME403 Integrated Construction Project 1</t>
  </si>
  <si>
    <t>CME402 Project Development and Appraisal</t>
  </si>
  <si>
    <t>CME409 Building Dissertation 2</t>
  </si>
  <si>
    <t>CME404 Facilities and Asset Management</t>
  </si>
  <si>
    <t>CME425 Engineering Measurement</t>
  </si>
  <si>
    <t>CME405 Research in Professional Practice in Construction</t>
  </si>
  <si>
    <t>CME417 Integrated Construction Project 2</t>
  </si>
  <si>
    <t>DIG10 Game Design Introduction</t>
  </si>
  <si>
    <t>DIG230 Introduction to 3D Modelling and Rendering</t>
  </si>
  <si>
    <t>DIG28 Animation and Motion Graphics Design</t>
  </si>
  <si>
    <t>Choose GRDE3033 or WORK3002</t>
  </si>
  <si>
    <t>DIG39 Industry Project Development</t>
  </si>
  <si>
    <t>WBP300 Work Based Project</t>
  </si>
  <si>
    <t>BIA280 Philosophy and Practice</t>
  </si>
  <si>
    <t>BIA390 Furniture Design</t>
  </si>
  <si>
    <t>Choose INAR1011 BIA140 or INAR1015 BIA170</t>
  </si>
  <si>
    <t>Choose an Option</t>
  </si>
  <si>
    <t>BIA140 Interior Architecture Studio - Foundation</t>
  </si>
  <si>
    <t>BIA170 History of the Interior</t>
  </si>
  <si>
    <t>BIA250 Interior Architecture Studio – Community</t>
  </si>
  <si>
    <t>BIA290 Design Fabrication</t>
  </si>
  <si>
    <t>GOL200 Changemakers Innovation Lab</t>
  </si>
  <si>
    <t>GOL210 Regional Industry Placement 2</t>
  </si>
  <si>
    <t>GOG300 Go Global - Internship 4</t>
  </si>
  <si>
    <t>URP110 Introduction to Planning</t>
  </si>
  <si>
    <t>URP100 Governance for Planning</t>
  </si>
  <si>
    <t>GPH311 Cultural Landscapes</t>
  </si>
  <si>
    <t>Choose WORK3002 or GEOG3002</t>
  </si>
  <si>
    <t>GPH320 Urban Geographies</t>
  </si>
  <si>
    <t>Row Labels</t>
  </si>
  <si>
    <t>OpenUnis SP 1</t>
  </si>
  <si>
    <t>OpenUnis SP 2</t>
  </si>
  <si>
    <t>OpenUnis SP 3</t>
  </si>
  <si>
    <t>OpenUnis SP 4</t>
  </si>
  <si>
    <t>OK</t>
  </si>
  <si>
    <t>SP2 removed</t>
  </si>
  <si>
    <t>Manually Changed</t>
  </si>
  <si>
    <t>Version change mid-year?</t>
  </si>
  <si>
    <t>Manually Added</t>
  </si>
  <si>
    <t>Construction Contracts and Procurement</t>
  </si>
  <si>
    <t>Virtual Design and Construction</t>
  </si>
  <si>
    <t>600CP</t>
  </si>
  <si>
    <t>Professional Practice in Construction</t>
  </si>
  <si>
    <t>CME215 or CME308</t>
  </si>
  <si>
    <t>Project Risk and Development Appraisal</t>
  </si>
  <si>
    <t>Furniture Design</t>
  </si>
  <si>
    <t>Design and Built Environment Research Methods</t>
  </si>
  <si>
    <t>Course Notes:</t>
  </si>
  <si>
    <t>9/01/2025 - checking on 2025 availabilities as SM &amp; OUA website do not match</t>
  </si>
  <si>
    <t>OK 10/01/2025</t>
  </si>
  <si>
    <t>Juggled Sequence</t>
  </si>
  <si>
    <t>Availability issue, maybe add SP2</t>
  </si>
  <si>
    <t>Spec Availability issue
10/01/2025</t>
  </si>
  <si>
    <t>Availability issue, need an SP4 unit</t>
  </si>
  <si>
    <t>4th Spec unit availability issues 14/01/2025</t>
  </si>
  <si>
    <t>Ready to Publish</t>
  </si>
  <si>
    <t>Version 2 - update to OSCU-INARS for OUA One Code units</t>
  </si>
  <si>
    <t>WORK2002</t>
  </si>
  <si>
    <t>Changemakers Innovation Lab</t>
  </si>
  <si>
    <t>WORK3006</t>
  </si>
  <si>
    <t>See OUA website</t>
  </si>
  <si>
    <t>(None)</t>
  </si>
  <si>
    <t>OUA One Code unit</t>
  </si>
  <si>
    <t>WORK2007.DE</t>
  </si>
  <si>
    <t>Version 2: 20/02/2025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</si>
</sst>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i/>
      <sz val="8"/>
      <color rgb="FF000000"/>
      <name val="Arial"/>
      <family val="2"/>
    </font>
    <font>
      <b/>
      <sz val="11"/>
      <color theme="0"/>
      <name val="Arial"/>
      <family val="2"/>
    </font>
    <font>
      <sz val="11"/>
      <color theme="0"/>
      <name val="Arial"/>
      <family val="2"/>
    </font>
    <font>
      <b/>
      <sz val="11"/>
      <color theme="0"/>
      <name val="Segoe UI"/>
      <family val="2"/>
    </font>
    <font>
      <b/>
      <sz val="11"/>
      <color rgb="FFFF0000"/>
      <name val="Segoe UI"/>
      <family val="2"/>
    </font>
    <font>
      <b/>
      <sz val="9"/>
      <name val="Segoe UI"/>
      <family val="2"/>
    </font>
    <font>
      <b/>
      <i/>
      <sz val="12"/>
      <color rgb="FFC00000"/>
      <name val="Calibri"/>
      <family val="2"/>
      <scheme val="minor"/>
    </font>
    <font>
      <sz val="12"/>
      <name val="Calibri"/>
      <family val="2"/>
      <scheme val="minor"/>
    </font>
    <font>
      <b/>
      <sz val="10"/>
      <color theme="0"/>
      <name val="Arial"/>
      <family val="2"/>
    </font>
    <font>
      <i/>
      <sz val="10"/>
      <color theme="0" tint="-0.34998626667073579"/>
      <name val="Arial"/>
      <family val="2"/>
    </font>
    <font>
      <sz val="12"/>
      <color rgb="FFFF0000"/>
      <name val="Calibri"/>
      <family val="2"/>
      <scheme val="minor"/>
    </font>
    <font>
      <b/>
      <sz val="10"/>
      <color theme="0"/>
      <name val="Segoe UI"/>
      <family val="2"/>
    </font>
    <font>
      <b/>
      <i/>
      <sz val="12"/>
      <color theme="0"/>
      <name val="Segoe UI"/>
      <family val="2"/>
    </font>
    <font>
      <b/>
      <sz val="11"/>
      <color theme="8"/>
      <name val="Calibri"/>
      <family val="2"/>
      <scheme val="minor"/>
    </font>
    <font>
      <b/>
      <i/>
      <sz val="10"/>
      <color theme="0" tint="-0.34998626667073579"/>
      <name val="Arial"/>
      <family val="2"/>
    </font>
    <font>
      <b/>
      <sz val="9"/>
      <color rgb="FFFF0000"/>
      <name val="Segoe UI"/>
      <family val="2"/>
    </font>
    <font>
      <b/>
      <sz val="18"/>
      <color theme="1"/>
      <name val="Segoe UI"/>
      <family val="2"/>
    </font>
    <font>
      <b/>
      <u/>
      <sz val="9"/>
      <color theme="1"/>
      <name val="Segoe UI"/>
      <family val="2"/>
    </font>
    <font>
      <b/>
      <sz val="10"/>
      <name val="Segoe UI"/>
      <family val="2"/>
    </font>
    <font>
      <sz val="9"/>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sz val="12"/>
      <color rgb="FF00B050"/>
      <name val="Calibri"/>
      <family val="2"/>
      <scheme val="minor"/>
    </font>
    <font>
      <sz val="8"/>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FFFF00"/>
        <bgColor indexed="64"/>
      </patternFill>
    </fill>
    <fill>
      <patternFill patternType="solid">
        <fgColor theme="1"/>
        <bgColor theme="1"/>
      </patternFill>
    </fill>
    <fill>
      <patternFill patternType="solid">
        <fgColor rgb="FFFFC000"/>
        <bgColor indexed="64"/>
      </patternFill>
    </fill>
    <fill>
      <patternFill patternType="solid">
        <fgColor theme="8"/>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
      <patternFill patternType="solid">
        <fgColor rgb="FF92D050"/>
        <bgColor indexed="64"/>
      </patternFill>
    </fill>
    <fill>
      <patternFill patternType="solid">
        <fgColor theme="0" tint="-4.9989318521683403E-2"/>
        <bgColor indexed="64"/>
      </patternFill>
    </fill>
  </fills>
  <borders count="4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right style="double">
        <color auto="1"/>
      </right>
      <top/>
      <bottom/>
      <diagonal/>
    </border>
    <border>
      <left/>
      <right/>
      <top style="thin">
        <color theme="1"/>
      </top>
      <bottom/>
      <diagonal/>
    </border>
    <border>
      <left/>
      <right/>
      <top style="thin">
        <color theme="0" tint="-0.24994659260841701"/>
      </top>
      <bottom style="thin">
        <color theme="0" tint="-0.24994659260841701"/>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style="thin">
        <color theme="0" tint="-0.14993743705557422"/>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diagonal/>
    </border>
  </borders>
  <cellStyleXfs count="4">
    <xf numFmtId="0" fontId="0" fillId="0" borderId="0"/>
    <xf numFmtId="0" fontId="1" fillId="0" borderId="0"/>
    <xf numFmtId="0" fontId="28" fillId="0" borderId="0" applyNumberFormat="0" applyFill="0" applyBorder="0" applyAlignment="0" applyProtection="0"/>
    <xf numFmtId="0" fontId="59" fillId="15" borderId="0" applyNumberFormat="0" applyBorder="0" applyAlignment="0" applyProtection="0"/>
  </cellStyleXfs>
  <cellXfs count="261">
    <xf numFmtId="0" fontId="0" fillId="0" borderId="0" xfId="0"/>
    <xf numFmtId="0" fontId="3"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8" fillId="0" borderId="0" xfId="0" applyFont="1"/>
    <xf numFmtId="0" fontId="7" fillId="0" borderId="0" xfId="0" applyFont="1"/>
    <xf numFmtId="0" fontId="10" fillId="0" borderId="0" xfId="0" applyFont="1"/>
    <xf numFmtId="0" fontId="5" fillId="0" borderId="0" xfId="0" applyFont="1" applyAlignment="1">
      <alignment horizontal="right"/>
    </xf>
    <xf numFmtId="0" fontId="6"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3" fillId="0" borderId="0" xfId="0" applyFont="1"/>
    <xf numFmtId="0" fontId="11" fillId="0" borderId="0" xfId="0" applyFont="1" applyAlignment="1">
      <alignment horizontal="center" vertical="center"/>
    </xf>
    <xf numFmtId="0" fontId="7" fillId="0" borderId="0" xfId="0" applyFont="1" applyAlignment="1">
      <alignment horizontal="center"/>
    </xf>
    <xf numFmtId="0" fontId="16" fillId="0" borderId="0" xfId="0" applyFont="1"/>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17" fillId="0" borderId="0" xfId="0" applyFont="1"/>
    <xf numFmtId="0" fontId="9" fillId="0" borderId="0" xfId="0" applyFont="1" applyAlignment="1">
      <alignment horizontal="left" vertical="center"/>
    </xf>
    <xf numFmtId="0" fontId="39" fillId="0" borderId="0" xfId="0" applyFont="1" applyAlignment="1">
      <alignment horizontal="left"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45" fillId="0" borderId="0" xfId="0" applyFont="1"/>
    <xf numFmtId="0" fontId="45" fillId="0" borderId="0" xfId="0" applyFont="1" applyAlignment="1">
      <alignment horizontal="right"/>
    </xf>
    <xf numFmtId="0" fontId="45" fillId="0" borderId="0" xfId="0" applyFont="1" applyAlignment="1">
      <alignment horizontal="center"/>
    </xf>
    <xf numFmtId="0" fontId="0" fillId="0" borderId="20" xfId="0" applyBorder="1" applyAlignment="1">
      <alignment horizontal="center"/>
    </xf>
    <xf numFmtId="14" fontId="6" fillId="0" borderId="0" xfId="0" applyNumberFormat="1" applyFont="1"/>
    <xf numFmtId="0" fontId="10" fillId="0" borderId="0" xfId="0" applyFont="1" applyAlignment="1">
      <alignment horizontal="center"/>
    </xf>
    <xf numFmtId="0" fontId="3" fillId="0" borderId="9" xfId="0" applyFont="1" applyBorder="1" applyAlignment="1">
      <alignment horizontal="center" vertical="center"/>
    </xf>
    <xf numFmtId="0" fontId="4" fillId="0" borderId="9" xfId="0" applyFont="1" applyBorder="1" applyAlignment="1">
      <alignment horizontal="center" vertical="center"/>
    </xf>
    <xf numFmtId="0" fontId="2" fillId="3" borderId="4" xfId="0" applyFont="1" applyFill="1" applyBorder="1" applyAlignment="1">
      <alignment horizontal="right" vertical="center"/>
    </xf>
    <xf numFmtId="0" fontId="2" fillId="3" borderId="6" xfId="0" applyFont="1" applyFill="1" applyBorder="1" applyAlignment="1">
      <alignment horizontal="right"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4" fillId="7" borderId="0" xfId="0" applyFont="1" applyFill="1" applyAlignment="1">
      <alignment horizontal="center" vertical="center"/>
    </xf>
    <xf numFmtId="0" fontId="46" fillId="0" borderId="0" xfId="0" applyFont="1"/>
    <xf numFmtId="0" fontId="10" fillId="0" borderId="21" xfId="0" applyFont="1" applyBorder="1"/>
    <xf numFmtId="0" fontId="47" fillId="9" borderId="0" xfId="0" applyFont="1" applyFill="1"/>
    <xf numFmtId="0" fontId="48" fillId="0" borderId="0" xfId="0" applyFont="1" applyAlignment="1">
      <alignment horizontal="right"/>
    </xf>
    <xf numFmtId="0" fontId="49" fillId="0" borderId="0" xfId="0" applyFont="1"/>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9" fillId="8" borderId="0" xfId="0" applyFont="1" applyFill="1" applyAlignment="1">
      <alignment horizontal="center" vertical="center"/>
    </xf>
    <xf numFmtId="0" fontId="3" fillId="0" borderId="8" xfId="0" applyFont="1" applyBorder="1" applyAlignment="1">
      <alignment horizontal="center" vertical="center"/>
    </xf>
    <xf numFmtId="0" fontId="9" fillId="0" borderId="0" xfId="0" applyFont="1" applyAlignment="1">
      <alignment horizontal="center" vertical="center"/>
    </xf>
    <xf numFmtId="0" fontId="4" fillId="10" borderId="8" xfId="0" applyFont="1" applyFill="1" applyBorder="1" applyAlignment="1">
      <alignment horizontal="center" vertical="center"/>
    </xf>
    <xf numFmtId="0" fontId="29" fillId="12" borderId="0" xfId="2" applyFont="1" applyFill="1" applyAlignment="1" applyProtection="1">
      <alignment vertical="center"/>
    </xf>
    <xf numFmtId="0" fontId="28" fillId="12" borderId="0" xfId="2" applyFill="1" applyAlignment="1" applyProtection="1">
      <alignment vertical="center"/>
    </xf>
    <xf numFmtId="0" fontId="28" fillId="12" borderId="0" xfId="2" applyFill="1" applyAlignment="1" applyProtection="1">
      <alignment horizontal="center" vertical="center"/>
    </xf>
    <xf numFmtId="0" fontId="44" fillId="2" borderId="0" xfId="1" applyFont="1" applyFill="1" applyAlignment="1" applyProtection="1">
      <alignment vertical="center"/>
      <protection locked="0"/>
    </xf>
    <xf numFmtId="0" fontId="44" fillId="4" borderId="0" xfId="1" applyFont="1" applyFill="1" applyAlignment="1" applyProtection="1">
      <alignment vertical="center"/>
      <protection locked="0"/>
    </xf>
    <xf numFmtId="0" fontId="20" fillId="2" borderId="0" xfId="1" applyFont="1" applyFill="1" applyAlignment="1" applyProtection="1">
      <alignment vertical="center"/>
      <protection locked="0"/>
    </xf>
    <xf numFmtId="0" fontId="0" fillId="0" borderId="0" xfId="0" applyAlignment="1">
      <alignment horizontal="left" textRotation="90"/>
    </xf>
    <xf numFmtId="0" fontId="45" fillId="0" borderId="0" xfId="0" applyFont="1" applyAlignment="1">
      <alignment horizontal="left"/>
    </xf>
    <xf numFmtId="0" fontId="46" fillId="0" borderId="0" xfId="0" applyFont="1" applyAlignment="1">
      <alignment horizontal="right"/>
    </xf>
    <xf numFmtId="14" fontId="46" fillId="0" borderId="0" xfId="0" applyNumberFormat="1" applyFont="1" applyAlignment="1">
      <alignment horizontal="left"/>
    </xf>
    <xf numFmtId="0" fontId="53" fillId="0" borderId="0" xfId="0" applyFont="1" applyAlignment="1">
      <alignment horizontal="left"/>
    </xf>
    <xf numFmtId="0" fontId="53" fillId="0" borderId="0" xfId="0" applyFont="1" applyAlignment="1">
      <alignment horizontal="right"/>
    </xf>
    <xf numFmtId="14" fontId="46" fillId="0" borderId="0" xfId="0" applyNumberFormat="1" applyFont="1"/>
    <xf numFmtId="14" fontId="45" fillId="10" borderId="0" xfId="0" applyNumberFormat="1" applyFont="1" applyFill="1"/>
    <xf numFmtId="0" fontId="0" fillId="8" borderId="0" xfId="0" applyFill="1"/>
    <xf numFmtId="14" fontId="0" fillId="8" borderId="0" xfId="0" applyNumberFormat="1" applyFill="1"/>
    <xf numFmtId="0" fontId="6" fillId="0" borderId="21" xfId="0" applyFont="1" applyBorder="1" applyAlignment="1">
      <alignment horizontal="center"/>
    </xf>
    <xf numFmtId="0" fontId="58" fillId="0" borderId="0" xfId="0" applyFont="1" applyAlignment="1">
      <alignment horizontal="center" vertical="center"/>
    </xf>
    <xf numFmtId="0" fontId="0" fillId="5" borderId="0" xfId="0" applyFill="1"/>
    <xf numFmtId="0" fontId="0" fillId="4" borderId="0" xfId="0" applyFill="1" applyAlignment="1">
      <alignment horizontal="center"/>
    </xf>
    <xf numFmtId="0" fontId="0" fillId="14" borderId="0" xfId="0" applyFill="1" applyAlignment="1">
      <alignment horizontal="center"/>
    </xf>
    <xf numFmtId="0" fontId="0" fillId="0" borderId="0" xfId="0" applyAlignment="1">
      <alignment horizontal="left"/>
    </xf>
    <xf numFmtId="0" fontId="0" fillId="0" borderId="0" xfId="0" applyAlignment="1">
      <alignment wrapText="1"/>
    </xf>
    <xf numFmtId="0" fontId="0" fillId="0" borderId="0" xfId="0" quotePrefix="1"/>
    <xf numFmtId="0" fontId="4" fillId="0" borderId="8" xfId="0" quotePrefix="1" applyFont="1" applyBorder="1" applyAlignment="1">
      <alignment horizontal="center" vertical="center"/>
    </xf>
    <xf numFmtId="0" fontId="4" fillId="0" borderId="5" xfId="0" quotePrefix="1" applyFont="1" applyBorder="1" applyAlignment="1">
      <alignment horizontal="center" vertical="center"/>
    </xf>
    <xf numFmtId="0" fontId="4" fillId="0" borderId="6" xfId="0" quotePrefix="1" applyFont="1" applyBorder="1" applyAlignment="1">
      <alignment horizontal="center" vertical="center"/>
    </xf>
    <xf numFmtId="14" fontId="0" fillId="0" borderId="0" xfId="0" applyNumberFormat="1"/>
    <xf numFmtId="14" fontId="59" fillId="15" borderId="0" xfId="3" applyNumberFormat="1" applyAlignment="1">
      <alignment horizontal="center"/>
    </xf>
    <xf numFmtId="0" fontId="10" fillId="16" borderId="0" xfId="0" applyFont="1" applyFill="1" applyAlignment="1">
      <alignment horizontal="center"/>
    </xf>
    <xf numFmtId="14" fontId="10" fillId="16" borderId="0" xfId="0" applyNumberFormat="1" applyFont="1" applyFill="1" applyAlignment="1">
      <alignment horizontal="center"/>
    </xf>
    <xf numFmtId="0" fontId="60" fillId="0" borderId="21" xfId="0" applyFont="1" applyBorder="1" applyAlignment="1">
      <alignment horizontal="center"/>
    </xf>
    <xf numFmtId="14" fontId="60" fillId="0" borderId="0" xfId="0" applyNumberFormat="1" applyFont="1" applyAlignment="1">
      <alignment horizontal="center"/>
    </xf>
    <xf numFmtId="14" fontId="60" fillId="0" borderId="21" xfId="0" applyNumberFormat="1" applyFont="1" applyBorder="1" applyAlignment="1">
      <alignment horizontal="center"/>
    </xf>
    <xf numFmtId="0" fontId="60" fillId="0" borderId="0" xfId="0" applyFont="1" applyAlignment="1">
      <alignment horizontal="center"/>
    </xf>
    <xf numFmtId="0" fontId="60" fillId="0" borderId="0" xfId="0" applyFont="1" applyAlignment="1">
      <alignment horizontal="center" wrapText="1"/>
    </xf>
    <xf numFmtId="14" fontId="61" fillId="0" borderId="0" xfId="0" applyNumberFormat="1" applyFont="1"/>
    <xf numFmtId="0" fontId="61" fillId="0" borderId="0" xfId="0" applyFont="1" applyAlignment="1">
      <alignment horizontal="left"/>
    </xf>
    <xf numFmtId="0" fontId="61" fillId="0" borderId="0" xfId="0" applyFont="1" applyAlignment="1">
      <alignment horizontal="center"/>
    </xf>
    <xf numFmtId="0" fontId="61" fillId="0" borderId="0" xfId="0" applyFont="1"/>
    <xf numFmtId="0" fontId="49" fillId="0" borderId="0" xfId="0" applyFont="1" applyAlignment="1">
      <alignment wrapText="1"/>
    </xf>
    <xf numFmtId="0" fontId="49" fillId="0" borderId="0" xfId="0" applyFont="1" applyAlignment="1">
      <alignment horizontal="center"/>
    </xf>
    <xf numFmtId="0" fontId="62" fillId="5" borderId="0" xfId="0" applyFont="1" applyFill="1"/>
    <xf numFmtId="0" fontId="49" fillId="8" borderId="0" xfId="0" applyFont="1" applyFill="1" applyAlignment="1">
      <alignment wrapText="1"/>
    </xf>
    <xf numFmtId="0" fontId="62" fillId="0" borderId="0" xfId="0" applyFont="1"/>
    <xf numFmtId="0" fontId="62" fillId="0" borderId="0" xfId="0" applyFont="1" applyAlignment="1">
      <alignment horizontal="center"/>
    </xf>
    <xf numFmtId="0" fontId="62" fillId="8" borderId="0" xfId="0" applyFont="1" applyFill="1" applyAlignment="1">
      <alignment horizontal="center"/>
    </xf>
    <xf numFmtId="0" fontId="49" fillId="8" borderId="0" xfId="0" applyFont="1" applyFill="1" applyAlignment="1">
      <alignment horizontal="center"/>
    </xf>
    <xf numFmtId="0" fontId="4" fillId="8" borderId="8" xfId="0" applyFont="1" applyFill="1" applyBorder="1" applyAlignment="1">
      <alignment horizontal="center" vertical="center"/>
    </xf>
    <xf numFmtId="0" fontId="2" fillId="3" borderId="30" xfId="0" applyFont="1" applyFill="1" applyBorder="1" applyAlignment="1">
      <alignment horizontal="right" vertical="center"/>
    </xf>
    <xf numFmtId="0" fontId="2" fillId="3" borderId="31" xfId="0" applyFont="1" applyFill="1" applyBorder="1" applyAlignment="1">
      <alignment horizontal="right" vertical="center"/>
    </xf>
    <xf numFmtId="0" fontId="2" fillId="3" borderId="32" xfId="0" applyFont="1" applyFill="1" applyBorder="1" applyAlignment="1">
      <alignment horizontal="right" vertical="center"/>
    </xf>
    <xf numFmtId="0" fontId="2" fillId="3" borderId="33" xfId="0" applyFont="1" applyFill="1" applyBorder="1" applyAlignment="1">
      <alignment horizontal="right" vertical="center"/>
    </xf>
    <xf numFmtId="0" fontId="3" fillId="0" borderId="34" xfId="0" applyFont="1" applyBorder="1" applyAlignment="1">
      <alignment horizontal="center" vertical="center"/>
    </xf>
    <xf numFmtId="0" fontId="4" fillId="0" borderId="35" xfId="0" applyFont="1" applyBorder="1" applyAlignment="1">
      <alignment horizontal="center" vertical="center"/>
    </xf>
    <xf numFmtId="0" fontId="3" fillId="0" borderId="36" xfId="0" applyFont="1" applyBorder="1" applyAlignment="1">
      <alignment horizontal="center" vertical="center"/>
    </xf>
    <xf numFmtId="0" fontId="4" fillId="0" borderId="37"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3" fillId="0" borderId="40" xfId="0" applyFont="1" applyBorder="1" applyAlignment="1">
      <alignment horizontal="center" vertical="center"/>
    </xf>
    <xf numFmtId="0" fontId="4" fillId="0" borderId="41" xfId="0" applyFont="1" applyBorder="1" applyAlignment="1">
      <alignment horizontal="center" vertical="center"/>
    </xf>
    <xf numFmtId="0" fontId="3" fillId="0" borderId="42" xfId="0" applyFont="1" applyBorder="1" applyAlignment="1">
      <alignment horizontal="center" vertical="center"/>
    </xf>
    <xf numFmtId="0" fontId="2" fillId="3" borderId="43" xfId="0" applyFont="1" applyFill="1" applyBorder="1" applyAlignment="1">
      <alignment horizontal="right" vertical="center"/>
    </xf>
    <xf numFmtId="0" fontId="3" fillId="0" borderId="38" xfId="0" applyFont="1" applyBorder="1" applyAlignment="1">
      <alignment horizontal="center" vertical="center"/>
    </xf>
    <xf numFmtId="0" fontId="4" fillId="8" borderId="37" xfId="0" applyFont="1" applyFill="1" applyBorder="1" applyAlignment="1">
      <alignment horizontal="center" vertical="center"/>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2" fillId="3" borderId="30" xfId="0" applyFont="1" applyFill="1" applyBorder="1" applyAlignment="1">
      <alignment horizontal="right" vertical="center" wrapText="1"/>
    </xf>
    <xf numFmtId="0" fontId="2" fillId="3" borderId="31" xfId="0" applyFont="1" applyFill="1" applyBorder="1" applyAlignment="1">
      <alignment horizontal="right" vertical="center" wrapText="1"/>
    </xf>
    <xf numFmtId="0" fontId="2" fillId="3" borderId="32" xfId="0" applyFont="1" applyFill="1" applyBorder="1" applyAlignment="1">
      <alignment horizontal="right" vertical="center" wrapText="1"/>
    </xf>
    <xf numFmtId="0" fontId="2" fillId="3" borderId="33" xfId="0" applyFont="1" applyFill="1" applyBorder="1" applyAlignment="1">
      <alignment horizontal="right" vertical="center" wrapText="1"/>
    </xf>
    <xf numFmtId="0" fontId="4" fillId="10" borderId="37" xfId="0" applyFont="1" applyFill="1" applyBorder="1" applyAlignment="1">
      <alignment horizontal="center" vertical="center"/>
    </xf>
    <xf numFmtId="0" fontId="3" fillId="10" borderId="40" xfId="0" applyFont="1" applyFill="1" applyBorder="1" applyAlignment="1">
      <alignment horizontal="center" vertical="center"/>
    </xf>
    <xf numFmtId="0" fontId="3" fillId="10" borderId="42" xfId="0" applyFont="1" applyFill="1" applyBorder="1" applyAlignment="1">
      <alignment horizontal="center" vertical="center"/>
    </xf>
    <xf numFmtId="0" fontId="2" fillId="3" borderId="43" xfId="0" applyFont="1" applyFill="1" applyBorder="1" applyAlignment="1">
      <alignment horizontal="right" vertical="center" wrapText="1"/>
    </xf>
    <xf numFmtId="0" fontId="6" fillId="16" borderId="0" xfId="0" applyFont="1" applyFill="1" applyAlignment="1">
      <alignment horizontal="center"/>
    </xf>
    <xf numFmtId="0" fontId="4" fillId="8" borderId="0" xfId="0" applyFont="1" applyFill="1" applyAlignment="1">
      <alignment horizontal="center" vertical="center"/>
    </xf>
    <xf numFmtId="0" fontId="9" fillId="0" borderId="8" xfId="0" applyFont="1" applyBorder="1" applyAlignment="1">
      <alignment horizontal="center" vertical="center"/>
    </xf>
    <xf numFmtId="0" fontId="9" fillId="0" borderId="40" xfId="0" applyFont="1" applyBorder="1" applyAlignment="1">
      <alignment horizontal="center" vertical="center"/>
    </xf>
    <xf numFmtId="0" fontId="9" fillId="0" borderId="37" xfId="0" applyFont="1" applyBorder="1" applyAlignment="1">
      <alignment horizontal="center" vertical="center"/>
    </xf>
    <xf numFmtId="0" fontId="9" fillId="6" borderId="44" xfId="0" applyFont="1" applyFill="1" applyBorder="1" applyAlignment="1">
      <alignment horizontal="center" vertical="center" wrapText="1"/>
    </xf>
    <xf numFmtId="0" fontId="9" fillId="6" borderId="0" xfId="0" applyFont="1" applyFill="1" applyAlignment="1">
      <alignment horizontal="center" vertical="center" wrapText="1"/>
    </xf>
    <xf numFmtId="0" fontId="6" fillId="10" borderId="0" xfId="0" applyFont="1" applyFill="1" applyAlignment="1">
      <alignment horizontal="center" wrapText="1"/>
    </xf>
    <xf numFmtId="0" fontId="22" fillId="2" borderId="18" xfId="1" applyFont="1" applyFill="1" applyBorder="1" applyAlignment="1" applyProtection="1">
      <alignment horizontal="center" vertical="center" wrapText="1"/>
      <protection locked="0"/>
    </xf>
    <xf numFmtId="0" fontId="22" fillId="13" borderId="15"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10" fillId="8" borderId="0" xfId="0" applyFont="1" applyFill="1" applyAlignment="1">
      <alignment horizontal="left"/>
    </xf>
    <xf numFmtId="0" fontId="0" fillId="8" borderId="0" xfId="0" applyFill="1" applyAlignment="1">
      <alignment wrapText="1"/>
    </xf>
    <xf numFmtId="0" fontId="18" fillId="0" borderId="12" xfId="1" applyFont="1" applyBorder="1" applyAlignment="1" applyProtection="1">
      <alignment horizontal="center"/>
    </xf>
    <xf numFmtId="0" fontId="18" fillId="0" borderId="13" xfId="1" applyFont="1" applyBorder="1" applyAlignment="1" applyProtection="1">
      <alignment horizontal="center"/>
    </xf>
    <xf numFmtId="0" fontId="18" fillId="0" borderId="13" xfId="1" applyFont="1" applyBorder="1" applyProtection="1"/>
    <xf numFmtId="0" fontId="18" fillId="0" borderId="14" xfId="1" applyFont="1" applyBorder="1" applyProtection="1"/>
    <xf numFmtId="0" fontId="1" fillId="0" borderId="0" xfId="1" applyProtection="1"/>
    <xf numFmtId="0" fontId="9" fillId="0" borderId="0" xfId="1" applyFont="1" applyAlignment="1" applyProtection="1">
      <alignment horizontal="center"/>
    </xf>
    <xf numFmtId="0" fontId="40" fillId="11" borderId="0" xfId="1" applyFont="1" applyFill="1" applyAlignment="1" applyProtection="1">
      <alignment horizontal="left" vertical="center" wrapText="1"/>
    </xf>
    <xf numFmtId="0" fontId="40" fillId="11" borderId="0" xfId="1" applyFont="1" applyFill="1" applyAlignment="1" applyProtection="1">
      <alignment vertical="center" wrapText="1"/>
    </xf>
    <xf numFmtId="0" fontId="0" fillId="0" borderId="0" xfId="0" applyProtection="1"/>
    <xf numFmtId="0" fontId="55" fillId="13" borderId="22" xfId="1" applyFont="1" applyFill="1" applyBorder="1" applyAlignment="1" applyProtection="1">
      <alignment horizontal="centerContinuous" vertical="center"/>
    </xf>
    <xf numFmtId="0" fontId="19" fillId="13" borderId="22" xfId="1" applyFont="1" applyFill="1" applyBorder="1" applyAlignment="1" applyProtection="1">
      <alignment horizontal="centerContinuous" vertical="center"/>
    </xf>
    <xf numFmtId="0" fontId="43" fillId="13" borderId="22" xfId="1" applyFont="1" applyFill="1" applyBorder="1" applyAlignment="1" applyProtection="1">
      <alignment horizontal="centerContinuous" vertical="center"/>
    </xf>
    <xf numFmtId="0" fontId="24" fillId="13" borderId="22" xfId="1" applyFont="1" applyFill="1" applyBorder="1" applyAlignment="1" applyProtection="1">
      <alignment horizontal="centerContinuous" vertical="center"/>
    </xf>
    <xf numFmtId="0" fontId="1" fillId="0" borderId="22" xfId="1" applyBorder="1" applyAlignment="1" applyProtection="1">
      <alignment horizontal="center"/>
    </xf>
    <xf numFmtId="0" fontId="56" fillId="2" borderId="22" xfId="1" applyFont="1" applyFill="1" applyBorder="1" applyAlignment="1" applyProtection="1">
      <alignment horizontal="right" vertical="center" indent="1"/>
    </xf>
    <xf numFmtId="0" fontId="56" fillId="2" borderId="22" xfId="1" applyFont="1" applyFill="1" applyBorder="1" applyAlignment="1" applyProtection="1">
      <alignment horizontal="righ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57" fillId="2" borderId="0" xfId="1" applyFont="1" applyFill="1" applyAlignment="1" applyProtection="1">
      <alignment vertical="center"/>
    </xf>
    <xf numFmtId="0" fontId="20" fillId="2" borderId="0" xfId="1" applyFont="1" applyFill="1" applyAlignment="1" applyProtection="1">
      <alignment vertical="center"/>
    </xf>
    <xf numFmtId="14" fontId="38" fillId="2" borderId="0" xfId="1" applyNumberFormat="1" applyFont="1" applyFill="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14" fontId="54" fillId="2" borderId="0" xfId="1" applyNumberFormat="1" applyFont="1" applyFill="1" applyAlignment="1" applyProtection="1">
      <alignment horizontal="right" vertical="center"/>
    </xf>
    <xf numFmtId="0" fontId="20" fillId="17" borderId="1" xfId="1" applyFont="1" applyFill="1" applyBorder="1" applyAlignment="1" applyProtection="1">
      <alignment horizontal="right" vertical="center"/>
    </xf>
    <xf numFmtId="0" fontId="20" fillId="17" borderId="3" xfId="1" applyFont="1" applyFill="1" applyBorder="1" applyAlignment="1" applyProtection="1">
      <alignment horizontal="left" vertical="center" indent="1"/>
    </xf>
    <xf numFmtId="0" fontId="22" fillId="17" borderId="3" xfId="1" applyFont="1" applyFill="1" applyBorder="1" applyAlignment="1" applyProtection="1">
      <alignment horizontal="right" vertical="center" indent="1"/>
    </xf>
    <xf numFmtId="0" fontId="20" fillId="17" borderId="3" xfId="1" applyFont="1" applyFill="1" applyBorder="1" applyAlignment="1" applyProtection="1">
      <alignment vertical="center"/>
    </xf>
    <xf numFmtId="0" fontId="22" fillId="17" borderId="3" xfId="1" applyFont="1" applyFill="1" applyBorder="1" applyAlignment="1" applyProtection="1">
      <alignment horizontal="left" vertical="center" wrapText="1"/>
    </xf>
    <xf numFmtId="0" fontId="22" fillId="17" borderId="3" xfId="1" applyFont="1" applyFill="1" applyBorder="1" applyAlignment="1" applyProtection="1">
      <alignment vertical="top" wrapText="1"/>
    </xf>
    <xf numFmtId="14" fontId="54" fillId="17" borderId="2" xfId="1" applyNumberFormat="1" applyFont="1" applyFill="1" applyBorder="1" applyAlignment="1" applyProtection="1">
      <alignment horizontal="right" vertical="center"/>
    </xf>
    <xf numFmtId="0" fontId="23" fillId="11" borderId="0" xfId="1" applyFont="1" applyFill="1" applyAlignment="1" applyProtection="1">
      <alignment horizontal="center" vertical="center"/>
    </xf>
    <xf numFmtId="0" fontId="23" fillId="11" borderId="0" xfId="1" applyFont="1" applyFill="1" applyAlignment="1" applyProtection="1">
      <alignment horizontal="left" vertical="center" indent="1"/>
    </xf>
    <xf numFmtId="0" fontId="23" fillId="11" borderId="0" xfId="1" applyFont="1" applyFill="1" applyAlignment="1" applyProtection="1">
      <alignment vertical="center"/>
    </xf>
    <xf numFmtId="0" fontId="23" fillId="11" borderId="19" xfId="1" applyFont="1" applyFill="1" applyBorder="1" applyAlignment="1" applyProtection="1">
      <alignment horizontal="left" vertical="center"/>
    </xf>
    <xf numFmtId="0" fontId="23" fillId="11" borderId="0" xfId="1" applyFont="1" applyFill="1" applyAlignment="1" applyProtection="1">
      <alignment horizontal="left" vertical="center"/>
    </xf>
    <xf numFmtId="0" fontId="23" fillId="11" borderId="15"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11" borderId="0" xfId="1" applyFont="1" applyFill="1" applyAlignment="1" applyProtection="1">
      <alignment horizontal="center" vertical="center" wrapText="1"/>
    </xf>
    <xf numFmtId="0" fontId="23" fillId="11" borderId="0" xfId="1" applyFont="1" applyFill="1" applyAlignment="1" applyProtection="1">
      <alignment horizontal="center" vertical="center" shrinkToFit="1"/>
    </xf>
    <xf numFmtId="0" fontId="23" fillId="11" borderId="23" xfId="1" applyFont="1" applyFill="1" applyBorder="1" applyAlignment="1" applyProtection="1">
      <alignment horizontal="center" vertical="center" wrapText="1"/>
    </xf>
    <xf numFmtId="0" fontId="23" fillId="11" borderId="24" xfId="1" applyFont="1" applyFill="1" applyBorder="1" applyAlignment="1" applyProtection="1">
      <alignment horizontal="center" vertical="center" wrapText="1"/>
    </xf>
    <xf numFmtId="0" fontId="23" fillId="11" borderId="25"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shrinkToFit="1"/>
    </xf>
    <xf numFmtId="0" fontId="22" fillId="2" borderId="26" xfId="1" applyFont="1" applyFill="1" applyBorder="1" applyAlignment="1" applyProtection="1">
      <alignment horizontal="center" vertical="center" wrapText="1"/>
    </xf>
    <xf numFmtId="0" fontId="22" fillId="2" borderId="27" xfId="1" applyFont="1" applyFill="1" applyBorder="1" applyAlignment="1" applyProtection="1">
      <alignment horizontal="center" vertical="center" wrapText="1"/>
    </xf>
    <xf numFmtId="0" fontId="22" fillId="2" borderId="28"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3" borderId="14" xfId="1" applyFont="1" applyFill="1" applyBorder="1" applyAlignment="1" applyProtection="1">
      <alignment horizontal="center" vertical="center" wrapText="1"/>
    </xf>
    <xf numFmtId="0" fontId="22" fillId="13" borderId="0" xfId="1" applyFont="1" applyFill="1" applyAlignment="1" applyProtection="1">
      <alignment horizontal="center" vertical="center" wrapText="1"/>
    </xf>
    <xf numFmtId="0" fontId="22" fillId="13" borderId="0" xfId="1" applyFont="1" applyFill="1" applyAlignment="1" applyProtection="1">
      <alignment vertical="center" wrapText="1"/>
    </xf>
    <xf numFmtId="0" fontId="25" fillId="13" borderId="0" xfId="1" applyFont="1" applyFill="1" applyAlignment="1" applyProtection="1">
      <alignment horizontal="left" vertical="center" shrinkToFit="1"/>
    </xf>
    <xf numFmtId="0" fontId="22" fillId="13" borderId="23" xfId="1" applyFont="1" applyFill="1" applyBorder="1" applyAlignment="1" applyProtection="1">
      <alignment horizontal="center" vertical="center" wrapText="1"/>
    </xf>
    <xf numFmtId="0" fontId="22" fillId="13" borderId="24" xfId="1" applyFont="1" applyFill="1" applyBorder="1" applyAlignment="1" applyProtection="1">
      <alignment horizontal="center" vertical="center" wrapText="1"/>
    </xf>
    <xf numFmtId="0" fontId="22" fillId="13" borderId="25" xfId="1" applyFont="1" applyFill="1" applyBorder="1" applyAlignment="1" applyProtection="1">
      <alignment horizontal="center" vertical="center" wrapText="1"/>
    </xf>
    <xf numFmtId="0" fontId="22" fillId="0" borderId="17" xfId="1" applyFont="1" applyBorder="1" applyAlignment="1" applyProtection="1">
      <alignment horizontal="center" vertical="center" wrapText="1"/>
    </xf>
    <xf numFmtId="0" fontId="22" fillId="0" borderId="26" xfId="1" applyFont="1" applyBorder="1" applyAlignment="1" applyProtection="1">
      <alignment horizontal="center" vertical="center" wrapText="1"/>
    </xf>
    <xf numFmtId="0" fontId="22" fillId="0" borderId="27" xfId="1" applyFont="1" applyBorder="1" applyAlignment="1" applyProtection="1">
      <alignment horizontal="center" vertical="center" wrapText="1"/>
    </xf>
    <xf numFmtId="0" fontId="22" fillId="0" borderId="28" xfId="1" applyFont="1" applyBorder="1" applyAlignment="1" applyProtection="1">
      <alignment horizontal="center" vertical="center" wrapText="1"/>
    </xf>
    <xf numFmtId="0" fontId="24" fillId="2" borderId="0" xfId="1" applyFont="1" applyFill="1" applyProtection="1"/>
    <xf numFmtId="0" fontId="25" fillId="2" borderId="0" xfId="1" applyFont="1" applyFill="1" applyProtection="1"/>
    <xf numFmtId="0" fontId="22" fillId="0" borderId="17" xfId="1" applyFont="1" applyBorder="1" applyAlignment="1" applyProtection="1">
      <alignment horizontal="left" vertical="center"/>
    </xf>
    <xf numFmtId="0" fontId="24" fillId="2" borderId="0" xfId="1" applyFont="1" applyFill="1" applyAlignment="1" applyProtection="1">
      <alignment horizontal="center" vertical="center"/>
    </xf>
    <xf numFmtId="0" fontId="22" fillId="0" borderId="17" xfId="1" applyFont="1" applyBorder="1" applyAlignment="1" applyProtection="1">
      <alignment vertical="center" wrapText="1"/>
    </xf>
    <xf numFmtId="0" fontId="33" fillId="2" borderId="0" xfId="1" applyFont="1" applyFill="1" applyAlignment="1" applyProtection="1">
      <alignment horizontal="left" vertical="center" wrapText="1"/>
    </xf>
    <xf numFmtId="0" fontId="34" fillId="2" borderId="0" xfId="1" applyFont="1" applyFill="1" applyAlignment="1" applyProtection="1">
      <alignment horizontal="left" vertical="center" wrapText="1"/>
    </xf>
    <xf numFmtId="0" fontId="34" fillId="2" borderId="0" xfId="1" applyFont="1" applyFill="1" applyAlignment="1" applyProtection="1">
      <alignment horizontal="center" vertical="center" wrapText="1"/>
    </xf>
    <xf numFmtId="0" fontId="35" fillId="2" borderId="0" xfId="1" applyFont="1" applyFill="1" applyAlignment="1" applyProtection="1">
      <alignment vertical="center" shrinkToFit="1"/>
    </xf>
    <xf numFmtId="0" fontId="35" fillId="2" borderId="0" xfId="1" applyFont="1" applyFill="1" applyAlignment="1" applyProtection="1">
      <alignment vertical="center"/>
    </xf>
    <xf numFmtId="0" fontId="36" fillId="2" borderId="0" xfId="1" applyFont="1" applyFill="1" applyAlignment="1" applyProtection="1">
      <alignment horizontal="center" vertical="center"/>
    </xf>
    <xf numFmtId="0" fontId="36" fillId="2" borderId="0" xfId="1" applyFont="1" applyFill="1" applyProtection="1"/>
    <xf numFmtId="0" fontId="12" fillId="2" borderId="0" xfId="1" applyFont="1" applyFill="1" applyProtection="1"/>
    <xf numFmtId="0" fontId="51" fillId="11" borderId="0" xfId="1" applyFont="1" applyFill="1" applyAlignment="1" applyProtection="1">
      <alignment horizontal="left" vertical="center" readingOrder="1"/>
    </xf>
    <xf numFmtId="0" fontId="38" fillId="11" borderId="0" xfId="1" applyFont="1" applyFill="1" applyAlignment="1" applyProtection="1">
      <alignment horizontal="left" vertical="center" readingOrder="1"/>
    </xf>
    <xf numFmtId="0" fontId="21" fillId="11" borderId="0" xfId="1" applyFont="1" applyFill="1" applyAlignment="1" applyProtection="1">
      <alignment horizontal="left" vertical="center" readingOrder="1"/>
    </xf>
    <xf numFmtId="0" fontId="42" fillId="11" borderId="0" xfId="1" applyFont="1" applyFill="1" applyAlignment="1" applyProtection="1">
      <alignment horizontal="center" vertical="center"/>
    </xf>
    <xf numFmtId="0" fontId="42" fillId="11" borderId="0" xfId="1" applyFont="1" applyFill="1" applyAlignment="1" applyProtection="1">
      <alignment horizontal="center" vertical="center" shrinkToFit="1"/>
    </xf>
    <xf numFmtId="0" fontId="42" fillId="11" borderId="0" xfId="1" applyFont="1" applyFill="1" applyAlignment="1" applyProtection="1">
      <alignment horizontal="center" vertical="center" readingOrder="1"/>
    </xf>
    <xf numFmtId="0" fontId="23" fillId="11" borderId="19" xfId="1" applyFont="1" applyFill="1" applyBorder="1" applyAlignment="1" applyProtection="1">
      <alignment vertical="center" readingOrder="1"/>
    </xf>
    <xf numFmtId="0" fontId="23" fillId="11" borderId="0" xfId="1" applyFont="1" applyFill="1" applyAlignment="1" applyProtection="1">
      <alignment vertical="center" readingOrder="1"/>
    </xf>
    <xf numFmtId="0" fontId="42" fillId="11" borderId="0" xfId="1" applyFont="1" applyFill="1" applyAlignment="1" applyProtection="1">
      <alignment vertical="center" readingOrder="1"/>
    </xf>
    <xf numFmtId="0" fontId="42" fillId="11" borderId="15" xfId="1" applyFont="1" applyFill="1" applyBorder="1" applyAlignment="1" applyProtection="1">
      <alignment vertical="center" readingOrder="1"/>
    </xf>
    <xf numFmtId="0" fontId="52" fillId="11" borderId="0" xfId="1" applyFont="1" applyFill="1" applyAlignment="1" applyProtection="1">
      <alignment horizontal="right" vertical="center"/>
    </xf>
    <xf numFmtId="0" fontId="1" fillId="0" borderId="0" xfId="1" applyAlignment="1" applyProtection="1">
      <alignment horizontal="center" vertical="center"/>
    </xf>
    <xf numFmtId="0" fontId="50" fillId="11" borderId="0" xfId="1" applyFont="1" applyFill="1" applyAlignment="1" applyProtection="1">
      <alignment horizontal="left" vertical="center"/>
    </xf>
    <xf numFmtId="0" fontId="38" fillId="11" borderId="0" xfId="1" applyFont="1" applyFill="1" applyAlignment="1" applyProtection="1">
      <alignment horizontal="left" vertical="center"/>
    </xf>
    <xf numFmtId="0" fontId="38" fillId="11" borderId="0" xfId="1" applyFont="1" applyFill="1" applyAlignment="1" applyProtection="1">
      <alignment horizontal="center" vertical="center"/>
    </xf>
    <xf numFmtId="0" fontId="23" fillId="11" borderId="29" xfId="1" applyFont="1" applyFill="1" applyBorder="1" applyAlignment="1" applyProtection="1">
      <alignment horizontal="center" vertical="center" wrapText="1"/>
    </xf>
    <xf numFmtId="0" fontId="1" fillId="0" borderId="0" xfId="1" applyAlignment="1" applyProtection="1">
      <alignment horizontal="center" vertical="top"/>
    </xf>
    <xf numFmtId="0" fontId="37" fillId="0" borderId="16" xfId="1" applyFont="1" applyBorder="1" applyAlignment="1" applyProtection="1">
      <alignment horizontal="left" vertical="center"/>
    </xf>
    <xf numFmtId="0" fontId="37" fillId="0" borderId="17" xfId="1" applyFont="1" applyBorder="1" applyAlignment="1" applyProtection="1">
      <alignment horizontal="center" vertical="center"/>
    </xf>
    <xf numFmtId="0" fontId="37" fillId="0" borderId="17" xfId="1" applyFont="1" applyBorder="1" applyAlignment="1" applyProtection="1">
      <alignment vertical="center"/>
    </xf>
    <xf numFmtId="0" fontId="37" fillId="0" borderId="17" xfId="1" applyFont="1" applyBorder="1" applyAlignment="1" applyProtection="1">
      <alignment horizontal="center" vertical="center" wrapText="1"/>
    </xf>
    <xf numFmtId="0" fontId="22" fillId="2" borderId="26" xfId="1" applyFont="1" applyFill="1" applyBorder="1" applyAlignment="1" applyProtection="1">
      <alignment horizontal="center" vertical="center"/>
    </xf>
    <xf numFmtId="0" fontId="22" fillId="2" borderId="27" xfId="1" applyFont="1" applyFill="1" applyBorder="1" applyAlignment="1" applyProtection="1">
      <alignment horizontal="center" vertical="center"/>
    </xf>
    <xf numFmtId="0" fontId="22" fillId="2" borderId="28" xfId="1" applyFont="1" applyFill="1" applyBorder="1" applyAlignment="1" applyProtection="1">
      <alignment horizontal="center" vertical="center"/>
    </xf>
    <xf numFmtId="0" fontId="37" fillId="0" borderId="0" xfId="1" applyFont="1" applyAlignment="1" applyProtection="1">
      <alignment horizontal="left" vertical="center"/>
    </xf>
    <xf numFmtId="0" fontId="37" fillId="0" borderId="0" xfId="1" applyFont="1" applyAlignment="1" applyProtection="1">
      <alignment vertical="center"/>
    </xf>
    <xf numFmtId="0" fontId="37" fillId="0" borderId="0" xfId="1" applyFont="1" applyAlignment="1" applyProtection="1">
      <alignment horizontal="center" vertical="center" wrapText="1"/>
    </xf>
    <xf numFmtId="0" fontId="25" fillId="2" borderId="0" xfId="1" applyFont="1" applyFill="1" applyAlignment="1" applyProtection="1">
      <alignment horizontal="center" vertical="center" wrapText="1"/>
    </xf>
    <xf numFmtId="0" fontId="22" fillId="2" borderId="0" xfId="1" applyFont="1" applyFill="1" applyAlignment="1" applyProtection="1">
      <alignment horizontal="center" vertical="center"/>
    </xf>
    <xf numFmtId="0" fontId="22" fillId="0" borderId="0" xfId="1" applyFont="1" applyAlignment="1" applyProtection="1">
      <alignment horizontal="left" vertical="center" wrapText="1"/>
    </xf>
    <xf numFmtId="0" fontId="27" fillId="2" borderId="0" xfId="1" applyFont="1" applyFill="1" applyAlignment="1" applyProtection="1">
      <alignment horizontal="center" vertical="center" wrapText="1"/>
    </xf>
    <xf numFmtId="0" fontId="31" fillId="2" borderId="0" xfId="1" applyFont="1" applyFill="1" applyProtection="1"/>
    <xf numFmtId="0" fontId="32" fillId="2" borderId="0" xfId="1" applyFont="1" applyFill="1" applyProtection="1"/>
    <xf numFmtId="0" fontId="33" fillId="2" borderId="0" xfId="1" applyFont="1" applyFill="1" applyAlignment="1" applyProtection="1">
      <alignment vertical="center"/>
    </xf>
    <xf numFmtId="0" fontId="12" fillId="2" borderId="0" xfId="1" applyFont="1" applyFill="1" applyAlignment="1" applyProtection="1">
      <alignment vertical="center"/>
    </xf>
    <xf numFmtId="0" fontId="35" fillId="2" borderId="0" xfId="1" applyFont="1" applyFill="1" applyAlignment="1" applyProtection="1">
      <alignment horizontal="right" vertical="center"/>
    </xf>
    <xf numFmtId="0" fontId="57" fillId="6" borderId="22" xfId="1" applyFont="1" applyFill="1" applyBorder="1" applyAlignment="1" applyProtection="1">
      <alignment horizontal="center" vertical="center"/>
      <protection locked="0"/>
    </xf>
  </cellXfs>
  <cellStyles count="4">
    <cellStyle name="Good" xfId="3" builtinId="26"/>
    <cellStyle name="Hyperlink" xfId="2" builtinId="8"/>
    <cellStyle name="Normal" xfId="0" builtinId="0"/>
    <cellStyle name="Normal 2" xfId="1" xr:uid="{00000000-0005-0000-0000-000003000000}"/>
  </cellStyles>
  <dxfs count="168">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theme="0" tint="-0.14996795556505021"/>
        </patternFill>
      </fill>
    </dxf>
    <dxf>
      <font>
        <b/>
        <i/>
        <color rgb="FFFF0000"/>
      </font>
    </dxf>
    <dxf>
      <font>
        <b/>
        <i/>
        <color rgb="FFFF0000"/>
      </font>
    </dxf>
    <dxf>
      <font>
        <b/>
        <i/>
      </font>
      <fill>
        <patternFill>
          <bgColor theme="0" tint="-0.14996795556505021"/>
        </patternFill>
      </fill>
    </dxf>
    <dxf>
      <fill>
        <patternFill>
          <bgColor theme="0" tint="-0.14996795556505021"/>
        </patternFill>
      </fill>
    </dxf>
    <dxf>
      <font>
        <b val="0"/>
        <i/>
      </font>
      <fill>
        <patternFill>
          <bgColor theme="4" tint="0.79998168889431442"/>
        </patternFill>
      </fill>
    </dxf>
    <dxf>
      <font>
        <b val="0"/>
        <i/>
      </font>
      <fill>
        <patternFill>
          <bgColor theme="4" tint="0.79998168889431442"/>
        </patternFill>
      </fill>
    </dxf>
    <dxf>
      <font>
        <b val="0"/>
        <i/>
      </font>
      <fill>
        <patternFill>
          <bgColor theme="4"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dxf>
    <dxf>
      <numFmt numFmtId="0" formatCode="General"/>
    </dxf>
    <dxf>
      <numFmt numFmtId="0" formatCode="General"/>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font>
        <b val="0"/>
        <i val="0"/>
        <strike val="0"/>
        <condense val="0"/>
        <extend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general" vertical="bottom"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5" tint="0.79998168889431442"/>
        </patternFill>
      </fill>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bottom" textRotation="0" wrapText="0" indent="0" justifyLastLine="0" shrinkToFit="0" readingOrder="0"/>
      <border diagonalUp="0" diagonalDown="0">
        <left/>
        <right/>
        <top style="thin">
          <color theme="1"/>
        </top>
        <bottom/>
        <vertical/>
        <horizontal/>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000000"/>
        <name val="Arial"/>
        <scheme val="none"/>
      </font>
      <numFmt numFmtId="19" formatCode="d/mm/yyyy"/>
      <fill>
        <patternFill patternType="none">
          <fgColor indexed="64"/>
          <bgColor indexed="65"/>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theme="1"/>
        </top>
        <bottom/>
      </border>
    </dxf>
    <dxf>
      <font>
        <b val="0"/>
        <i val="0"/>
        <strike val="0"/>
        <condense val="0"/>
        <extend val="0"/>
        <outline val="0"/>
        <shadow val="0"/>
        <u val="none"/>
        <vertAlign val="baseline"/>
        <sz val="10"/>
        <color theme="1"/>
        <name val="Arial"/>
        <scheme val="none"/>
      </font>
      <border diagonalUp="0" diagonalDown="0" outline="0">
        <left/>
        <right/>
        <top style="thin">
          <color theme="1"/>
        </top>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0"/>
        <name val="Arial"/>
        <scheme val="none"/>
      </font>
      <fill>
        <patternFill patternType="solid">
          <fgColor theme="1"/>
          <bgColor theme="1"/>
        </patternFill>
      </fill>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rgb="FF00B05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276226</xdr:colOff>
      <xdr:row>3</xdr:row>
      <xdr:rowOff>133352</xdr:rowOff>
    </xdr:from>
    <xdr:ext cx="5629275" cy="5276848"/>
    <xdr:sp macro="" textlink="">
      <xdr:nvSpPr>
        <xdr:cNvPr id="2" name="TextBox 1">
          <a:extLst>
            <a:ext uri="{FF2B5EF4-FFF2-40B4-BE49-F238E27FC236}">
              <a16:creationId xmlns:a16="http://schemas.microsoft.com/office/drawing/2014/main" id="{00000000-0008-0000-0000-000006000000}"/>
            </a:ext>
          </a:extLst>
        </xdr:cNvPr>
        <xdr:cNvSpPr txBox="1"/>
      </xdr:nvSpPr>
      <xdr:spPr>
        <a:xfrm>
          <a:off x="11696701" y="1019177"/>
          <a:ext cx="5629275" cy="527684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000" b="1" u="sng">
              <a:latin typeface="Segoe UI" panose="020B0502040204020203" pitchFamily="34" charset="0"/>
              <a:ea typeface="Segoe UI" panose="020B0502040204020203" pitchFamily="34" charset="0"/>
              <a:cs typeface="Segoe UI" panose="020B0502040204020203" pitchFamily="34" charset="0"/>
            </a:rPr>
            <a:t>Enrolment Guidelines</a:t>
          </a:r>
        </a:p>
        <a:p>
          <a:pPr algn="ctr"/>
          <a:endParaRPr lang="en-AU" sz="1000" b="1">
            <a:latin typeface="Segoe UI" panose="020B0502040204020203" pitchFamily="34" charset="0"/>
            <a:ea typeface="Segoe UI" panose="020B0502040204020203" pitchFamily="34" charset="0"/>
            <a:cs typeface="Segoe UI" panose="020B0502040204020203" pitchFamily="34" charset="0"/>
          </a:endParaRPr>
        </a:p>
        <a:p>
          <a:pPr algn="ctr"/>
          <a:r>
            <a:rPr lang="en-AU" sz="1000" b="1">
              <a:solidFill>
                <a:schemeClr val="accent5"/>
              </a:solidFill>
              <a:latin typeface="Segoe UI" panose="020B0502040204020203" pitchFamily="34" charset="0"/>
              <a:ea typeface="Segoe UI" panose="020B0502040204020203" pitchFamily="34" charset="0"/>
              <a:cs typeface="Segoe UI" panose="020B0502040204020203" pitchFamily="34" charset="0"/>
            </a:rPr>
            <a:t>Bachelor of Applied Science (Construction Management) (OpenUnis)</a:t>
          </a:r>
        </a:p>
        <a:p>
          <a:endParaRPr lang="en-AU" sz="1000">
            <a:effectLst/>
          </a:endParaRPr>
        </a:p>
        <a:p>
          <a:pPr algn="ctr"/>
          <a:r>
            <a:rPr lang="en-AU" sz="1100" i="1">
              <a:solidFill>
                <a:schemeClr val="dk1"/>
              </a:solidFill>
              <a:effectLst/>
              <a:latin typeface="+mn-lt"/>
              <a:ea typeface="+mn-ea"/>
              <a:cs typeface="+mn-cs"/>
            </a:rPr>
            <a:t>Use the drop-down lists</a:t>
          </a:r>
          <a:r>
            <a:rPr lang="en-AU" sz="1100" i="1" baseline="0">
              <a:solidFill>
                <a:schemeClr val="dk1"/>
              </a:solidFill>
              <a:effectLst/>
              <a:latin typeface="+mn-lt"/>
              <a:ea typeface="+mn-ea"/>
              <a:cs typeface="+mn-cs"/>
            </a:rPr>
            <a:t> to select your </a:t>
          </a:r>
          <a:r>
            <a:rPr lang="en-AU" sz="1100" b="1" i="1" baseline="0">
              <a:solidFill>
                <a:schemeClr val="dk1"/>
              </a:solidFill>
              <a:effectLst/>
              <a:latin typeface="+mn-lt"/>
              <a:ea typeface="+mn-ea"/>
              <a:cs typeface="+mn-cs"/>
            </a:rPr>
            <a:t>Stream</a:t>
          </a:r>
          <a:r>
            <a:rPr lang="en-AU" sz="1100" i="1" baseline="0">
              <a:solidFill>
                <a:schemeClr val="dk1"/>
              </a:solidFill>
              <a:effectLst/>
              <a:latin typeface="+mn-lt"/>
              <a:ea typeface="+mn-ea"/>
              <a:cs typeface="+mn-cs"/>
            </a:rPr>
            <a:t>, </a:t>
          </a:r>
          <a:r>
            <a:rPr lang="en-AU" sz="1100" b="1" i="1" baseline="0">
              <a:solidFill>
                <a:schemeClr val="dk1"/>
              </a:solidFill>
              <a:effectLst/>
              <a:latin typeface="+mn-lt"/>
              <a:ea typeface="+mn-ea"/>
              <a:cs typeface="+mn-cs"/>
            </a:rPr>
            <a:t>Specialisation</a:t>
          </a:r>
          <a:r>
            <a:rPr lang="en-AU" sz="1100" i="1" baseline="0">
              <a:solidFill>
                <a:schemeClr val="dk1"/>
              </a:solidFill>
              <a:effectLst/>
              <a:latin typeface="+mn-lt"/>
              <a:ea typeface="+mn-ea"/>
              <a:cs typeface="+mn-cs"/>
            </a:rPr>
            <a:t> &amp;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sz="1000">
            <a:effectLst/>
          </a:endParaRPr>
        </a:p>
        <a:p>
          <a:pPr algn="ctr"/>
          <a:endParaRPr lang="en-AU" sz="1000">
            <a:effectLst/>
          </a:endParaRPr>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pPr rtl="0" fontAlgn="base"/>
          <a:r>
            <a:rPr lang="en-AU" sz="1100" b="0" i="0">
              <a:solidFill>
                <a:schemeClr val="dk1"/>
              </a:solidFill>
              <a:effectLst/>
              <a:latin typeface="+mn-lt"/>
              <a:ea typeface="+mn-ea"/>
              <a:cs typeface="+mn-cs"/>
            </a:rPr>
            <a:t>If you wish to enrol in a part-time load, please contact your</a:t>
          </a:r>
          <a:r>
            <a:rPr lang="en-AU" sz="1100" b="0" i="0" baseline="0">
              <a:solidFill>
                <a:schemeClr val="dk1"/>
              </a:solidFill>
              <a:effectLst/>
              <a:latin typeface="+mn-lt"/>
              <a:ea typeface="+mn-ea"/>
              <a:cs typeface="+mn-cs"/>
            </a:rPr>
            <a:t> Course Coordinator (Email: constructionmanagement@curtin.edu.au) or </a:t>
          </a:r>
          <a:r>
            <a:rPr lang="en-AU" sz="1100" b="0" i="0">
              <a:solidFill>
                <a:schemeClr val="dk1"/>
              </a:solidFill>
              <a:effectLst/>
              <a:latin typeface="+mn-lt"/>
              <a:ea typeface="+mn-ea"/>
              <a:cs typeface="+mn-cs"/>
            </a:rPr>
            <a:t>please select one subject from the two listed for each study period.</a:t>
          </a:r>
          <a:endParaRPr lang="en-AU">
            <a:effectLst/>
          </a:endParaRPr>
        </a:p>
        <a:p>
          <a:endParaRPr lang="en-AU" sz="1100">
            <a:solidFill>
              <a:schemeClr val="dk1"/>
            </a:solidFill>
            <a:effectLst/>
            <a:latin typeface="+mn-lt"/>
            <a:ea typeface="+mn-ea"/>
            <a:cs typeface="+mn-cs"/>
          </a:endParaRPr>
        </a:p>
        <a:p>
          <a:r>
            <a:rPr lang="en-AU" sz="1100" b="1"/>
            <a:t>Industry Placements</a:t>
          </a:r>
        </a:p>
        <a:p>
          <a:r>
            <a:rPr lang="en-AU" sz="1100" baseline="0">
              <a:solidFill>
                <a:schemeClr val="dk1"/>
              </a:solidFill>
              <a:effectLst/>
              <a:latin typeface="+mn-lt"/>
              <a:ea typeface="+mn-ea"/>
              <a:cs typeface="+mn-cs"/>
            </a:rPr>
            <a:t>Students must undertake 80 days of work experience in the construction industry to meet the completion requirement of this course. The work experience must be in approved professional roles which are relevant to the course (e.g. quantity surveying, construction management, project management, building surveying, property development, contract administration, construction law, procurement/supply chain management etc.). This must be undertaken in an organization having a valid registration, conducting their business as a construction entity or consultancy firm, or a public or private organization in which construction or project procurement is their primary business.</a:t>
          </a:r>
        </a:p>
        <a:p>
          <a:r>
            <a:rPr lang="en-AU" sz="1100" baseline="0">
              <a:solidFill>
                <a:schemeClr val="dk1"/>
              </a:solidFill>
              <a:effectLst/>
              <a:latin typeface="+mn-lt"/>
              <a:ea typeface="+mn-ea"/>
              <a:cs typeface="+mn-cs"/>
            </a:rPr>
            <a:t> </a:t>
          </a: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study plan, please contact Curtin Connect.</a:t>
          </a:r>
          <a:endParaRPr lang="en-AU">
            <a:effectLst/>
          </a:endParaRP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1447801</xdr:colOff>
      <xdr:row>2</xdr:row>
      <xdr:rowOff>314326</xdr:rowOff>
    </xdr:from>
    <xdr:to>
      <xdr:col>16</xdr:col>
      <xdr:colOff>609601</xdr:colOff>
      <xdr:row>3</xdr:row>
      <xdr:rowOff>133351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5000000}"/>
            </a:ext>
          </a:extLst>
        </xdr:cNvPr>
        <xdr:cNvSpPr txBox="1"/>
      </xdr:nvSpPr>
      <xdr:spPr>
        <a:xfrm>
          <a:off x="14906626" y="695326"/>
          <a:ext cx="2419350" cy="32385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6:H8" totalsRowShown="0" headerRowDxfId="167">
  <autoFilter ref="A6:H8" xr:uid="{00000000-0009-0000-0100-000003000000}"/>
  <tableColumns count="8">
    <tableColumn id="3" xr3:uid="{00000000-0010-0000-0000-000003000000}" name="Choose your Construction Management Course (drop-down list)" dataDxfId="166"/>
    <tableColumn id="1" xr3:uid="{00000000-0010-0000-0000-000001000000}" name="UDC" dataDxfId="165"/>
    <tableColumn id="2" xr3:uid="{00000000-0010-0000-0000-000002000000}" name="SM Version" dataDxfId="164"/>
    <tableColumn id="5" xr3:uid="{00000000-0010-0000-0000-000005000000}" name="SM Effective Date" dataDxfId="163"/>
    <tableColumn id="4" xr3:uid="{00000000-0010-0000-0000-000004000000}" name="Akari Iteration" dataDxfId="162"/>
    <tableColumn id="6" xr3:uid="{00000000-0010-0000-0000-000006000000}" name="Akari Effective Date" dataDxfId="161"/>
    <tableColumn id="7" xr3:uid="{00000000-0010-0000-0000-000007000000}" name="Credit Points" dataDxfId="160"/>
    <tableColumn id="8" xr3:uid="{00000000-0010-0000-0000-000008000000}" name="SM Availabilities" dataDxfId="15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9000000}" name="TableOUSHCONMN" displayName="TableOUSHCONMN" ref="A31:O38" totalsRowShown="0">
  <autoFilter ref="A31:O38" xr:uid="{00000000-0009-0000-0100-000008000000}"/>
  <sortState xmlns:xlrd2="http://schemas.microsoft.com/office/spreadsheetml/2017/richdata2" ref="A35:R42">
    <sortCondition ref="N10:N18"/>
  </sortState>
  <tableColumns count="15">
    <tableColumn id="1" xr3:uid="{00000000-0010-0000-0900-000001000000}" name="UDC" dataDxfId="78">
      <calculatedColumnFormula>TableOUSHCONMN[[#This Row],[Study Package Code]]</calculatedColumnFormula>
    </tableColumn>
    <tableColumn id="9" xr3:uid="{00000000-0010-0000-0900-000009000000}" name="V" dataDxfId="77">
      <calculatedColumnFormula>TableOUSHCONMN[[#This Row],[Ver]]</calculatedColumnFormula>
    </tableColumn>
    <tableColumn id="10" xr3:uid="{00000000-0010-0000-0900-00000A000000}" name="OUA Code" dataDxfId="76">
      <calculatedColumnFormula>LEFT(TableOUSHCONMN[[#This Row],[Structure Line]],6)</calculatedColumnFormula>
    </tableColumn>
    <tableColumn id="11" xr3:uid="{00000000-0010-0000-0900-00000B000000}" name="Unit Title" dataDxfId="75">
      <calculatedColumnFormula>MID(TableOUSHCONMN[[#This Row],[Structure Line]],8,LEN(TableOUSHCONMN[[#This Row],[Structure Line]]))</calculatedColumnFormula>
    </tableColumn>
    <tableColumn id="12" xr3:uid="{00000000-0010-0000-0900-00000C000000}" name="CPs" dataDxfId="74">
      <calculatedColumnFormula>TableOUSHCONMN[[#This Row],[Credit Points]]</calculatedColumnFormula>
    </tableColumn>
    <tableColumn id="13" xr3:uid="{00000000-0010-0000-0900-00000D000000}" name="No." dataDxfId="73"/>
    <tableColumn id="2" xr3:uid="{00000000-0010-0000-0900-000002000000}" name="Component Type" dataDxfId="72"/>
    <tableColumn id="3" xr3:uid="{00000000-0010-0000-0900-000003000000}" name="Year Level" dataDxfId="71"/>
    <tableColumn id="4" xr3:uid="{00000000-0010-0000-0900-000004000000}" name="Study Period" dataDxfId="70"/>
    <tableColumn id="5" xr3:uid="{00000000-0010-0000-0900-000005000000}" name="Study Package Code" dataDxfId="69"/>
    <tableColumn id="6" xr3:uid="{00000000-0010-0000-0900-000006000000}" name="Ver" dataDxfId="68"/>
    <tableColumn id="7" xr3:uid="{00000000-0010-0000-0900-000007000000}" name="Structure Line" dataDxfId="67"/>
    <tableColumn id="8" xr3:uid="{00000000-0010-0000-0900-000008000000}" name="Credit Points" dataDxfId="66"/>
    <tableColumn id="14" xr3:uid="{00000000-0010-0000-0900-00000E000000}" name="Effective" dataDxfId="65"/>
    <tableColumn id="15" xr3:uid="{00000000-0010-0000-0900-00000F000000}" name="Discont." dataDxfId="64"/>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OUSUCONMN" displayName="TableOUSUCONMN" ref="A40:O47" totalsRowShown="0">
  <autoFilter ref="A40:O47" xr:uid="{00000000-0009-0000-0100-00000E000000}"/>
  <sortState xmlns:xlrd2="http://schemas.microsoft.com/office/spreadsheetml/2017/richdata2" ref="A44:R51">
    <sortCondition ref="N10:N18"/>
  </sortState>
  <tableColumns count="15">
    <tableColumn id="1" xr3:uid="{00000000-0010-0000-0A00-000001000000}" name="UDC" dataDxfId="63">
      <calculatedColumnFormula>TableOUSUCONMN[[#This Row],[Study Package Code]]</calculatedColumnFormula>
    </tableColumn>
    <tableColumn id="9" xr3:uid="{00000000-0010-0000-0A00-000009000000}" name="V" dataDxfId="62">
      <calculatedColumnFormula>TableOUSUCONMN[[#This Row],[Ver]]</calculatedColumnFormula>
    </tableColumn>
    <tableColumn id="10" xr3:uid="{00000000-0010-0000-0A00-00000A000000}" name="OUA Code" dataDxfId="61">
      <calculatedColumnFormula>LEFT(TableOUSUCONMN[[#This Row],[Structure Line]],6)</calculatedColumnFormula>
    </tableColumn>
    <tableColumn id="11" xr3:uid="{00000000-0010-0000-0A00-00000B000000}" name="Unit Title" dataDxfId="60">
      <calculatedColumnFormula>MID(TableOUSUCONMN[[#This Row],[Structure Line]],8,LEN(TableOUSUCONMN[[#This Row],[Structure Line]]))</calculatedColumnFormula>
    </tableColumn>
    <tableColumn id="12" xr3:uid="{00000000-0010-0000-0A00-00000C000000}" name="CPs" dataDxfId="59">
      <calculatedColumnFormula>TableOUSUCONMN[[#This Row],[Credit Points]]</calculatedColumnFormula>
    </tableColumn>
    <tableColumn id="13" xr3:uid="{00000000-0010-0000-0A00-00000D000000}" name="No." dataDxfId="58"/>
    <tableColumn id="2" xr3:uid="{00000000-0010-0000-0A00-000002000000}" name="Component Type" dataDxfId="57"/>
    <tableColumn id="3" xr3:uid="{00000000-0010-0000-0A00-000003000000}" name="Year Level" dataDxfId="56"/>
    <tableColumn id="4" xr3:uid="{00000000-0010-0000-0A00-000004000000}" name="Study Period" dataDxfId="55"/>
    <tableColumn id="5" xr3:uid="{00000000-0010-0000-0A00-000005000000}" name="Study Package Code" dataDxfId="54"/>
    <tableColumn id="6" xr3:uid="{00000000-0010-0000-0A00-000006000000}" name="Ver" dataDxfId="53"/>
    <tableColumn id="7" xr3:uid="{00000000-0010-0000-0A00-000007000000}" name="Structure Line" dataDxfId="52"/>
    <tableColumn id="8" xr3:uid="{00000000-0010-0000-0A00-000008000000}" name="Credit Points" dataDxfId="51"/>
    <tableColumn id="14" xr3:uid="{00000000-0010-0000-0A00-00000E000000}" name="Effective" dataDxfId="50"/>
    <tableColumn id="15" xr3:uid="{00000000-0010-0000-0A00-00000F000000}" name="Discont." dataDxfId="49"/>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B000000}" name="Table535657542618" displayName="Table535657542618" ref="Q2:R29" totalsRowShown="0">
  <autoFilter ref="Q2:R29" xr:uid="{00000000-0009-0000-0100-00000A000000}"/>
  <tableColumns count="2">
    <tableColumn id="1" xr3:uid="{00000000-0010-0000-0B00-000001000000}" name="Column1"/>
    <tableColumn id="2" xr3:uid="{00000000-0010-0000-0B00-000002000000}" name="Column2"/>
  </tableColumns>
  <tableStyleInfo name="TableStyleLight4"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C000000}" name="Table53565754261812" displayName="Table53565754261812" ref="Q31:R38" totalsRowShown="0">
  <autoFilter ref="Q31:R38" xr:uid="{00000000-0009-0000-0100-00000B000000}"/>
  <tableColumns count="2">
    <tableColumn id="1" xr3:uid="{00000000-0010-0000-0C00-000001000000}" name="Column1"/>
    <tableColumn id="2" xr3:uid="{00000000-0010-0000-0C00-000002000000}" name="Column2"/>
  </tableColumns>
  <tableStyleInfo name="TableStyleLight4"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D000000}" name="Table53565754261813" displayName="Table53565754261813" ref="Q40:R47" totalsRowShown="0">
  <autoFilter ref="Q40:R47" xr:uid="{00000000-0009-0000-0100-00000C000000}"/>
  <tableColumns count="2">
    <tableColumn id="1" xr3:uid="{00000000-0010-0000-0D00-000001000000}" name="Column1" dataDxfId="48"/>
    <tableColumn id="2" xr3:uid="{00000000-0010-0000-0D00-000002000000}" name="Column2" dataDxfId="47"/>
  </tableColumns>
  <tableStyleInfo name="TableStyleLight4"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53565754261816" displayName="Table53565754261816" ref="Q49:R55" totalsRowShown="0">
  <autoFilter ref="Q49:R55" xr:uid="{00000000-0009-0000-0100-00000F000000}"/>
  <tableColumns count="2">
    <tableColumn id="1" xr3:uid="{00000000-0010-0000-0E00-000001000000}" name="Column1" dataDxfId="46"/>
    <tableColumn id="2" xr3:uid="{00000000-0010-0000-0E00-000002000000}" name="Column2" dataDxfId="45"/>
  </tableColumns>
  <tableStyleInfo name="TableStyleLight4"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le5356575426181618" displayName="Table5356575426181618" ref="Q71:R77" totalsRowShown="0">
  <autoFilter ref="Q71:R77" xr:uid="{00000000-0009-0000-0100-000011000000}"/>
  <tableColumns count="2">
    <tableColumn id="1" xr3:uid="{00000000-0010-0000-0F00-000001000000}" name="Column1"/>
    <tableColumn id="2" xr3:uid="{00000000-0010-0000-0F00-000002000000}" name="Column2"/>
  </tableColumns>
  <tableStyleInfo name="TableStyleLight4"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Table5356575426181319" displayName="Table5356575426181319" ref="Q57:R69" totalsRowShown="0">
  <autoFilter ref="Q57:R69" xr:uid="{00000000-0009-0000-0100-000012000000}"/>
  <tableColumns count="2">
    <tableColumn id="1" xr3:uid="{00000000-0010-0000-1000-000001000000}" name="Column1"/>
    <tableColumn id="2" xr3:uid="{00000000-0010-0000-1000-000002000000}" name="Column2"/>
  </tableColumns>
  <tableStyleInfo name="TableStyleLight4"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1000000}" name="TableAvailabilities" displayName="TableAvailabilities" ref="A2:E47" totalsRowShown="0">
  <autoFilter ref="A2:E47" xr:uid="{00000000-0009-0000-0100-00000D000000}"/>
  <sortState xmlns:xlrd2="http://schemas.microsoft.com/office/spreadsheetml/2017/richdata2" ref="A3:E3">
    <sortCondition ref="A2:A3"/>
  </sortState>
  <tableColumns count="5">
    <tableColumn id="1" xr3:uid="{00000000-0010-0000-1100-000001000000}" name="Row Labels"/>
    <tableColumn id="2" xr3:uid="{00000000-0010-0000-1100-000002000000}" name="OpenUnis SP 1" dataDxfId="44"/>
    <tableColumn id="3" xr3:uid="{00000000-0010-0000-1100-000003000000}" name="OpenUnis SP 2" dataDxfId="43"/>
    <tableColumn id="4" xr3:uid="{00000000-0010-0000-1100-000004000000}" name="OpenUnis SP 3" dataDxfId="42"/>
    <tableColumn id="5" xr3:uid="{00000000-0010-0000-1100-000005000000}" name="OpenUnis SP 4" dataDxfId="41"/>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1:E15" totalsRowShown="0" dataDxfId="158">
  <autoFilter ref="A11:E15" xr:uid="{00000000-0009-0000-0100-000004000000}"/>
  <tableColumns count="5">
    <tableColumn id="1" xr3:uid="{00000000-0010-0000-0100-000001000000}" name="Choose your commencing study period (drop-down list)" dataDxfId="157"/>
    <tableColumn id="2" xr3:uid="{00000000-0010-0000-0100-000002000000}" name="START" dataDxfId="156"/>
    <tableColumn id="3" xr3:uid="{00000000-0010-0000-0100-000003000000}" name="Next" dataDxfId="155"/>
    <tableColumn id="4" xr3:uid="{00000000-0010-0000-0100-000004000000}" name="Next2" dataDxfId="154"/>
    <tableColumn id="5" xr3:uid="{00000000-0010-0000-0100-000005000000}" name="Next3" dataDxfId="15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Specialisations" displayName="TableSpecialisations" ref="A23:G26" totalsRowShown="0" dataDxfId="152">
  <autoFilter ref="A23:G26" xr:uid="{00000000-0009-0000-0100-000005000000}"/>
  <tableColumns count="7">
    <tableColumn id="1" xr3:uid="{00000000-0010-0000-0200-000001000000}" name="Choose your Specialisation (drop-down list)" dataDxfId="151">
      <calculatedColumnFormula>D73</calculatedColumnFormula>
    </tableColumn>
    <tableColumn id="2" xr3:uid="{00000000-0010-0000-0200-000002000000}" name="UDC" dataDxfId="150">
      <calculatedColumnFormula>A73</calculatedColumnFormula>
    </tableColumn>
    <tableColumn id="3" xr3:uid="{00000000-0010-0000-0200-000003000000}" name="SM Version" dataDxfId="149">
      <calculatedColumnFormula>B73</calculatedColumnFormula>
    </tableColumn>
    <tableColumn id="4" xr3:uid="{00000000-0010-0000-0200-000004000000}" name="SM Effective Date" dataDxfId="148"/>
    <tableColumn id="5" xr3:uid="{00000000-0010-0000-0200-000005000000}" name="Akari Iteration" dataDxfId="147"/>
    <tableColumn id="6" xr3:uid="{00000000-0010-0000-0200-000006000000}" name="Akari Effective Date" dataDxfId="146"/>
    <tableColumn id="7" xr3:uid="{00000000-0010-0000-0200-000007000000}" name="Credit Points" dataDxfId="145"/>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3000000}" name="TableStream" displayName="TableStream" ref="A18:G20" totalsRowShown="0" headerRowDxfId="144" tableBorderDxfId="143">
  <autoFilter ref="A18:G20" xr:uid="{00000000-0009-0000-0100-000010000000}"/>
  <tableColumns count="7">
    <tableColumn id="1" xr3:uid="{00000000-0010-0000-0300-000001000000}" name="Choose your Stream (drop-down list)" dataDxfId="142"/>
    <tableColumn id="2" xr3:uid="{00000000-0010-0000-0300-000002000000}" name="UDC" dataDxfId="141"/>
    <tableColumn id="3" xr3:uid="{00000000-0010-0000-0300-000003000000}" name="SM Version" dataDxfId="140"/>
    <tableColumn id="4" xr3:uid="{00000000-0010-0000-0300-000004000000}" name="SM Effective Date" dataDxfId="139"/>
    <tableColumn id="5" xr3:uid="{00000000-0010-0000-0300-000005000000}" name="Akari Iteration" dataDxfId="138"/>
    <tableColumn id="6" xr3:uid="{00000000-0010-0000-0300-000006000000}" name="Akari Effective Date" dataDxfId="137"/>
    <tableColumn id="7" xr3:uid="{00000000-0010-0000-0300-000007000000}" name="Credit Points" dataDxfId="136"/>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TableHandbook" displayName="TableHandbook" ref="A2:Q68" totalsRowShown="0" headerRowDxfId="135">
  <autoFilter ref="A2:Q68" xr:uid="{00000000-0009-0000-0100-000002000000}"/>
  <sortState xmlns:xlrd2="http://schemas.microsoft.com/office/spreadsheetml/2017/richdata2" ref="A3:Q68">
    <sortCondition ref="A2:A68"/>
  </sortState>
  <tableColumns count="17">
    <tableColumn id="1" xr3:uid="{00000000-0010-0000-0400-000001000000}" name="UDC"/>
    <tableColumn id="2" xr3:uid="{00000000-0010-0000-0400-000002000000}" name="Ver" dataDxfId="134"/>
    <tableColumn id="3" xr3:uid="{00000000-0010-0000-0400-000003000000}" name="OUA Cd" dataDxfId="133"/>
    <tableColumn id="4" xr3:uid="{00000000-0010-0000-0400-000004000000}" name="Title" dataDxfId="132"/>
    <tableColumn id="5" xr3:uid="{00000000-0010-0000-0400-000005000000}" name="Credits" dataDxfId="131"/>
    <tableColumn id="6" xr3:uid="{00000000-0010-0000-0400-000006000000}" name="Pre-reqs (8/10/2024)" dataDxfId="130"/>
    <tableColumn id="12" xr3:uid="{00000000-0010-0000-0400-00000C000000}" name="SP1" dataDxfId="129">
      <calculatedColumnFormula>IFERROR(IF(VLOOKUP(TableHandbook[[#This Row],[UDC]],TableAvailabilities[],2,FALSE)&gt;0,"Y",""),"")</calculatedColumnFormula>
    </tableColumn>
    <tableColumn id="13" xr3:uid="{00000000-0010-0000-0400-00000D000000}" name="SP2" dataDxfId="128">
      <calculatedColumnFormula>IFERROR(IF(VLOOKUP(TableHandbook[[#This Row],[UDC]],TableAvailabilities[],3,FALSE)&gt;0,"Y",""),"")</calculatedColumnFormula>
    </tableColumn>
    <tableColumn id="14" xr3:uid="{00000000-0010-0000-0400-00000E000000}" name="SP3" dataDxfId="127">
      <calculatedColumnFormula>IFERROR(IF(VLOOKUP(TableHandbook[[#This Row],[UDC]],TableAvailabilities[],4,FALSE)&gt;0,"Y",""),"")</calculatedColumnFormula>
    </tableColumn>
    <tableColumn id="15" xr3:uid="{00000000-0010-0000-0400-00000F000000}" name="SP4" dataDxfId="126">
      <calculatedColumnFormula>IFERROR(IF(VLOOKUP(TableHandbook[[#This Row],[UDC]],TableAvailabilities[],5,FALSE)&gt;0,"Y",""),"")</calculatedColumnFormula>
    </tableColumn>
    <tableColumn id="16" xr3:uid="{00000000-0010-0000-0400-000010000000}" name="Notes" dataDxfId="125"/>
    <tableColumn id="8" xr3:uid="{00000000-0010-0000-0400-000008000000}" name="OB-CONMN" dataDxfId="124">
      <calculatedColumnFormula>IFERROR(VLOOKUP(TableHandbook[[#This Row],[UDC]],TableOBCONMN[],7,FALSE),"")</calculatedColumnFormula>
    </tableColumn>
    <tableColumn id="9" xr3:uid="{00000000-0010-0000-0400-000009000000}" name="OUSH-CONMN" dataDxfId="123">
      <calculatedColumnFormula>IFERROR(VLOOKUP(TableHandbook[[#This Row],[UDC]],TableOUSHCONMN[],7,FALSE),"")</calculatedColumnFormula>
    </tableColumn>
    <tableColumn id="10" xr3:uid="{00000000-0010-0000-0400-00000A000000}" name="OUSU-CONMN" dataDxfId="122">
      <calculatedColumnFormula>IFERROR(VLOOKUP(TableHandbook[[#This Row],[UDC]],TableOUSUCONMN[],7,FALSE),"")</calculatedColumnFormula>
    </tableColumn>
    <tableColumn id="20" xr3:uid="{00000000-0010-0000-0400-000014000000}" name="OSCU-ANGAD" dataDxfId="121">
      <calculatedColumnFormula>IFERROR(VLOOKUP(TableHandbook[[#This Row],[UDC]],TableOSCUANGAD[],7,FALSE),"")</calculatedColumnFormula>
    </tableColumn>
    <tableColumn id="21" xr3:uid="{00000000-0010-0000-0400-000015000000}" name="OSCU-INARS" dataDxfId="120">
      <calculatedColumnFormula>IFERROR(VLOOKUP(TableHandbook[[#This Row],[UDC]],TableOSCUINARS[],7,FALSE),"")</calculatedColumnFormula>
    </tableColumn>
    <tableColumn id="17" xr3:uid="{00000000-0010-0000-0400-000011000000}" name="OSCU-PLGEO" dataDxfId="119">
      <calculatedColumnFormula>IFERROR(VLOOKUP(TableHandbook[[#This Row],[UDC]],TableOSCUPLGEO[],7,FALSE),"")</calculatedColumnFormula>
    </tableColumn>
  </tableColumns>
  <tableStyleInfo name="TableStyleLight11" showFirstColumn="0" showLastColumn="0"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eOBCONMN" displayName="TableOBCONMN" ref="A2:O29" totalsRowShown="0">
  <autoFilter ref="A2:O29" xr:uid="{00000000-0009-0000-0100-000001000000}"/>
  <sortState xmlns:xlrd2="http://schemas.microsoft.com/office/spreadsheetml/2017/richdata2" ref="AE3:AV6">
    <sortCondition ref="AS2:AS6"/>
  </sortState>
  <tableColumns count="15">
    <tableColumn id="1" xr3:uid="{00000000-0010-0000-0500-000001000000}" name="UDC" dataDxfId="118">
      <calculatedColumnFormula>TableOBCONMN[[#This Row],[Study Package Code]]</calculatedColumnFormula>
    </tableColumn>
    <tableColumn id="9" xr3:uid="{00000000-0010-0000-0500-000009000000}" name="V" dataDxfId="117">
      <calculatedColumnFormula>TableOBCONMN[[#This Row],[Ver]]</calculatedColumnFormula>
    </tableColumn>
    <tableColumn id="10" xr3:uid="{00000000-0010-0000-0500-00000A000000}" name="OUA Code" dataDxfId="116">
      <calculatedColumnFormula>LEFT(TableOBCONMN[[#This Row],[Structure Line]],6)</calculatedColumnFormula>
    </tableColumn>
    <tableColumn id="11" xr3:uid="{00000000-0010-0000-0500-00000B000000}" name="Unit Title" dataDxfId="115">
      <calculatedColumnFormula>MID(TableOBCONMN[[#This Row],[Structure Line]],8,LEN(TableOBCONMN[[#This Row],[Structure Line]]))</calculatedColumnFormula>
    </tableColumn>
    <tableColumn id="12" xr3:uid="{00000000-0010-0000-0500-00000C000000}" name="CPs" dataDxfId="114">
      <calculatedColumnFormula>TableOBCONMN[[#This Row],[Credit Points]]</calculatedColumnFormula>
    </tableColumn>
    <tableColumn id="13" xr3:uid="{00000000-0010-0000-0500-00000D000000}" name="No."/>
    <tableColumn id="2" xr3:uid="{00000000-0010-0000-0500-000002000000}" name="Component Type"/>
    <tableColumn id="3" xr3:uid="{00000000-0010-0000-0500-000003000000}" name="Year Level"/>
    <tableColumn id="4" xr3:uid="{00000000-0010-0000-0500-000004000000}" name="Study Period"/>
    <tableColumn id="5" xr3:uid="{00000000-0010-0000-0500-000005000000}" name="Study Package Code"/>
    <tableColumn id="6" xr3:uid="{00000000-0010-0000-0500-000006000000}" name="Ver" dataDxfId="113"/>
    <tableColumn id="7" xr3:uid="{00000000-0010-0000-0500-000007000000}" name="Structure Line" dataDxfId="112"/>
    <tableColumn id="8" xr3:uid="{00000000-0010-0000-0500-000008000000}" name="Credit Points" dataDxfId="111"/>
    <tableColumn id="14" xr3:uid="{00000000-0010-0000-0500-00000E000000}" name="Effective" dataDxfId="110"/>
    <tableColumn id="15" xr3:uid="{00000000-0010-0000-0500-00000F000000}" name="Discont." dataDxfId="109"/>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TableOSCUANGAD" displayName="TableOSCUANGAD" ref="A49:O55" totalsRowShown="0">
  <autoFilter ref="A49:O55" xr:uid="{00000000-0009-0000-0100-000006000000}"/>
  <sortState xmlns:xlrd2="http://schemas.microsoft.com/office/spreadsheetml/2017/richdata2" ref="AE11:AV18">
    <sortCondition ref="AR10:AR18"/>
  </sortState>
  <tableColumns count="15">
    <tableColumn id="1" xr3:uid="{00000000-0010-0000-0600-000001000000}" name="UDC" dataDxfId="108">
      <calculatedColumnFormula>TableOSCUANGAD[[#This Row],[Study Package Code]]</calculatedColumnFormula>
    </tableColumn>
    <tableColumn id="9" xr3:uid="{00000000-0010-0000-0600-000009000000}" name="V" dataDxfId="107">
      <calculatedColumnFormula>TableOSCUANGAD[[#This Row],[Ver]]</calculatedColumnFormula>
    </tableColumn>
    <tableColumn id="10" xr3:uid="{00000000-0010-0000-0600-00000A000000}" name="OUA Code" dataDxfId="106">
      <calculatedColumnFormula>LEFT(TableOSCUANGAD[[#This Row],[Structure Line]],6)</calculatedColumnFormula>
    </tableColumn>
    <tableColumn id="11" xr3:uid="{00000000-0010-0000-0600-00000B000000}" name="Unit Title" dataDxfId="105">
      <calculatedColumnFormula>MID(TableOSCUANGAD[[#This Row],[Structure Line]],8,LEN(TableOSCUANGAD[[#This Row],[Structure Line]]))</calculatedColumnFormula>
    </tableColumn>
    <tableColumn id="12" xr3:uid="{00000000-0010-0000-0600-00000C000000}" name="CPs" dataDxfId="104">
      <calculatedColumnFormula>TableOSCUANGAD[[#This Row],[Credit Points]]</calculatedColumnFormula>
    </tableColumn>
    <tableColumn id="13" xr3:uid="{00000000-0010-0000-0600-00000D000000}" name="No."/>
    <tableColumn id="2" xr3:uid="{00000000-0010-0000-0600-000002000000}" name="Component Type"/>
    <tableColumn id="3" xr3:uid="{00000000-0010-0000-0600-000003000000}" name="Year Level"/>
    <tableColumn id="4" xr3:uid="{00000000-0010-0000-0600-000004000000}" name="Study Period"/>
    <tableColumn id="5" xr3:uid="{00000000-0010-0000-0600-000005000000}" name="Study Package Code"/>
    <tableColumn id="6" xr3:uid="{00000000-0010-0000-0600-000006000000}" name="Ver" dataDxfId="103"/>
    <tableColumn id="7" xr3:uid="{00000000-0010-0000-0600-000007000000}" name="Structure Line" dataDxfId="102"/>
    <tableColumn id="8" xr3:uid="{00000000-0010-0000-0600-000008000000}" name="Credit Points" dataDxfId="101"/>
    <tableColumn id="14" xr3:uid="{00000000-0010-0000-0600-00000E000000}" name="Effective" dataDxfId="100"/>
    <tableColumn id="15" xr3:uid="{00000000-0010-0000-0600-00000F000000}" name="Discont." dataDxfId="99"/>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TableOSCUINARS" displayName="TableOSCUINARS" ref="A57:O69" totalsRowShown="0">
  <autoFilter ref="A57:O69" xr:uid="{00000000-0009-0000-0100-000007000000}"/>
  <sortState xmlns:xlrd2="http://schemas.microsoft.com/office/spreadsheetml/2017/richdata2" ref="A58:M65">
    <sortCondition ref="F57:F65"/>
  </sortState>
  <tableColumns count="15">
    <tableColumn id="1" xr3:uid="{00000000-0010-0000-0700-000001000000}" name="UDC" dataDxfId="98">
      <calculatedColumnFormula>TableOSCUINARS[[#This Row],[Study Package Code]]</calculatedColumnFormula>
    </tableColumn>
    <tableColumn id="9" xr3:uid="{00000000-0010-0000-0700-000009000000}" name="V" dataDxfId="97">
      <calculatedColumnFormula>TableOSCUINARS[[#This Row],[Ver]]</calculatedColumnFormula>
    </tableColumn>
    <tableColumn id="10" xr3:uid="{00000000-0010-0000-0700-00000A000000}" name="OUA Code" dataDxfId="96">
      <calculatedColumnFormula>LEFT(TableOSCUINARS[[#This Row],[Structure Line]],6)</calculatedColumnFormula>
    </tableColumn>
    <tableColumn id="11" xr3:uid="{00000000-0010-0000-0700-00000B000000}" name="Unit Title" dataDxfId="95">
      <calculatedColumnFormula>TableOSCUINARS[[#This Row],[Structure Line]]</calculatedColumnFormula>
    </tableColumn>
    <tableColumn id="12" xr3:uid="{00000000-0010-0000-0700-00000C000000}" name="CPs" dataDxfId="94">
      <calculatedColumnFormula>TableOSCUINARS[[#This Row],[Credit Points]]</calculatedColumnFormula>
    </tableColumn>
    <tableColumn id="13" xr3:uid="{00000000-0010-0000-0700-00000D000000}" name="No."/>
    <tableColumn id="2" xr3:uid="{00000000-0010-0000-0700-000002000000}" name="Component Type"/>
    <tableColumn id="3" xr3:uid="{00000000-0010-0000-0700-000003000000}" name="Year Level"/>
    <tableColumn id="4" xr3:uid="{00000000-0010-0000-0700-000004000000}" name="Study Period"/>
    <tableColumn id="5" xr3:uid="{00000000-0010-0000-0700-000005000000}" name="Study Package Code"/>
    <tableColumn id="6" xr3:uid="{00000000-0010-0000-0700-000006000000}" name="Ver" dataDxfId="93"/>
    <tableColumn id="7" xr3:uid="{00000000-0010-0000-0700-000007000000}" name="Structure Line" dataDxfId="92"/>
    <tableColumn id="8" xr3:uid="{00000000-0010-0000-0700-000008000000}" name="Credit Points" dataDxfId="91"/>
    <tableColumn id="14" xr3:uid="{00000000-0010-0000-0700-00000E000000}" name="Effective" dataDxfId="90"/>
    <tableColumn id="15" xr3:uid="{00000000-0010-0000-0700-00000F000000}" name="Discont." dataDxfId="89"/>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OSCUPLGEO" displayName="TableOSCUPLGEO" ref="A71:O77" totalsRowShown="0">
  <autoFilter ref="A71:O77" xr:uid="{00000000-0009-0000-0100-000009000000}"/>
  <sortState xmlns:xlrd2="http://schemas.microsoft.com/office/spreadsheetml/2017/richdata2" ref="A54:M59">
    <sortCondition descending="1" ref="G48:G54"/>
  </sortState>
  <tableColumns count="15">
    <tableColumn id="1" xr3:uid="{00000000-0010-0000-0800-000001000000}" name="UDC" dataDxfId="88">
      <calculatedColumnFormula>TableOSCUPLGEO[[#This Row],[Study Package Code]]</calculatedColumnFormula>
    </tableColumn>
    <tableColumn id="9" xr3:uid="{00000000-0010-0000-0800-000009000000}" name="V" dataDxfId="87">
      <calculatedColumnFormula>TableOSCUPLGEO[[#This Row],[Ver]]</calculatedColumnFormula>
    </tableColumn>
    <tableColumn id="10" xr3:uid="{00000000-0010-0000-0800-00000A000000}" name="OUA Code" dataDxfId="86">
      <calculatedColumnFormula>LEFT(TableOSCUPLGEO[[#This Row],[Structure Line]],6)</calculatedColumnFormula>
    </tableColumn>
    <tableColumn id="11" xr3:uid="{00000000-0010-0000-0800-00000B000000}" name="Unit Title" dataDxfId="85">
      <calculatedColumnFormula>MID(TableOSCUPLGEO[[#This Row],[Structure Line]],8,LEN(TableOSCUPLGEO[[#This Row],[Structure Line]]))</calculatedColumnFormula>
    </tableColumn>
    <tableColumn id="12" xr3:uid="{00000000-0010-0000-0800-00000C000000}" name="CPs" dataDxfId="84">
      <calculatedColumnFormula>TableOSCUPLGEO[[#This Row],[Credit Points]]</calculatedColumnFormula>
    </tableColumn>
    <tableColumn id="13" xr3:uid="{00000000-0010-0000-0800-00000D000000}" name="No."/>
    <tableColumn id="2" xr3:uid="{00000000-0010-0000-0800-000002000000}" name="Component Type"/>
    <tableColumn id="3" xr3:uid="{00000000-0010-0000-0800-000003000000}" name="Year Level"/>
    <tableColumn id="4" xr3:uid="{00000000-0010-0000-0800-000004000000}" name="Study Period"/>
    <tableColumn id="5" xr3:uid="{00000000-0010-0000-0800-000005000000}" name="Study Package Code"/>
    <tableColumn id="6" xr3:uid="{00000000-0010-0000-0800-000006000000}" name="Ver" dataDxfId="83"/>
    <tableColumn id="7" xr3:uid="{00000000-0010-0000-0800-000007000000}" name="Structure Line" dataDxfId="82"/>
    <tableColumn id="8" xr3:uid="{00000000-0010-0000-0800-000008000000}" name="Credit Points" dataDxfId="81"/>
    <tableColumn id="14" xr3:uid="{00000000-0010-0000-0800-00000E000000}" name="Effective" dataDxfId="80"/>
    <tableColumn id="15" xr3:uid="{00000000-0010-0000-0800-00000F000000}" name="Discont." dataDxfId="79"/>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printerSettings" Target="../printerSettings/printerSettings4.bin"/><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0"/>
  <sheetViews>
    <sheetView showGridLines="0" tabSelected="1" topLeftCell="A3" zoomScaleNormal="100" workbookViewId="0">
      <selection activeCell="D7" sqref="D7"/>
    </sheetView>
  </sheetViews>
  <sheetFormatPr defaultColWidth="9" defaultRowHeight="15" x14ac:dyDescent="0.25"/>
  <cols>
    <col min="1" max="1" width="11.75" style="159" customWidth="1"/>
    <col min="2" max="2" width="3.25" style="159" customWidth="1"/>
    <col min="3" max="3" width="9.125" style="159" customWidth="1"/>
    <col min="4" max="4" width="51.375" style="147" customWidth="1"/>
    <col min="5" max="5" width="9.25" style="147" bestFit="1" customWidth="1"/>
    <col min="6" max="6" width="21.375" style="147" customWidth="1"/>
    <col min="7" max="7" width="5.625" style="147" customWidth="1"/>
    <col min="8" max="11" width="4.625" style="147" customWidth="1"/>
    <col min="12" max="12" width="15.625" style="147" customWidth="1"/>
    <col min="13" max="13" width="2.5" style="147" hidden="1" customWidth="1"/>
    <col min="14" max="14" width="9" style="147"/>
    <col min="15" max="15" width="17.75" style="147" bestFit="1" customWidth="1"/>
    <col min="16" max="16" width="42.75" style="147" customWidth="1"/>
    <col min="17" max="16384" width="9" style="147"/>
  </cols>
  <sheetData>
    <row r="1" spans="1:16" hidden="1" x14ac:dyDescent="0.25">
      <c r="A1" s="143" t="s">
        <v>0</v>
      </c>
      <c r="B1" s="144" t="s">
        <v>1</v>
      </c>
      <c r="C1" s="144" t="s">
        <v>2</v>
      </c>
      <c r="D1" s="145" t="s">
        <v>3</v>
      </c>
      <c r="E1" s="145" t="s">
        <v>4</v>
      </c>
      <c r="F1" s="145" t="s">
        <v>5</v>
      </c>
      <c r="G1" s="145" t="s">
        <v>6</v>
      </c>
      <c r="H1" s="146" t="s">
        <v>7</v>
      </c>
      <c r="I1" s="145"/>
      <c r="J1" s="145"/>
      <c r="K1" s="145"/>
      <c r="L1" s="145" t="s">
        <v>8</v>
      </c>
    </row>
    <row r="2" spans="1:16" hidden="1" x14ac:dyDescent="0.25">
      <c r="A2" s="148">
        <v>1</v>
      </c>
      <c r="B2" s="148">
        <v>2</v>
      </c>
      <c r="C2" s="148">
        <v>3</v>
      </c>
      <c r="D2" s="148">
        <v>4</v>
      </c>
      <c r="E2" s="148"/>
      <c r="F2" s="148">
        <v>6</v>
      </c>
      <c r="G2" s="148">
        <v>5</v>
      </c>
      <c r="H2" s="148">
        <v>7</v>
      </c>
      <c r="I2" s="148">
        <v>8</v>
      </c>
      <c r="J2" s="148">
        <v>9</v>
      </c>
      <c r="K2" s="148">
        <v>10</v>
      </c>
      <c r="L2" s="148"/>
    </row>
    <row r="3" spans="1:16" ht="39.950000000000003" customHeight="1" x14ac:dyDescent="0.25">
      <c r="A3" s="149" t="s">
        <v>9</v>
      </c>
      <c r="B3" s="149"/>
      <c r="C3" s="149"/>
      <c r="D3" s="149"/>
      <c r="E3" s="150"/>
      <c r="F3" s="150"/>
      <c r="G3" s="150"/>
      <c r="H3" s="150"/>
      <c r="I3" s="150"/>
      <c r="J3" s="150"/>
      <c r="K3" s="150"/>
      <c r="L3" s="150"/>
      <c r="O3" s="151"/>
      <c r="P3" s="151"/>
    </row>
    <row r="4" spans="1:16" ht="26.25" x14ac:dyDescent="0.25">
      <c r="A4" s="152" t="s">
        <v>10</v>
      </c>
      <c r="B4" s="153"/>
      <c r="C4" s="153"/>
      <c r="D4" s="153"/>
      <c r="E4" s="152"/>
      <c r="F4" s="153"/>
      <c r="G4" s="154"/>
      <c r="H4" s="154"/>
      <c r="I4" s="154"/>
      <c r="J4" s="154"/>
      <c r="K4" s="154"/>
      <c r="L4" s="155" t="s">
        <v>438</v>
      </c>
      <c r="O4" s="151"/>
      <c r="P4" s="151"/>
    </row>
    <row r="5" spans="1:16" ht="21.75" customHeight="1" x14ac:dyDescent="0.25">
      <c r="A5" s="156"/>
      <c r="B5" s="156"/>
      <c r="C5" s="157" t="s">
        <v>11</v>
      </c>
      <c r="D5" s="260"/>
      <c r="E5" s="158" t="s">
        <v>12</v>
      </c>
      <c r="F5" s="260"/>
      <c r="G5" s="156"/>
      <c r="H5" s="156"/>
      <c r="I5" s="156"/>
      <c r="J5" s="156"/>
      <c r="K5" s="156"/>
      <c r="L5" s="156"/>
      <c r="O5" s="151"/>
      <c r="P5" s="151"/>
    </row>
    <row r="6" spans="1:16" ht="20.100000000000001" customHeight="1" x14ac:dyDescent="0.25">
      <c r="B6" s="160"/>
      <c r="C6" s="161" t="s">
        <v>13</v>
      </c>
      <c r="D6" s="162" t="s">
        <v>14</v>
      </c>
      <c r="E6" s="163"/>
      <c r="F6" s="161" t="s">
        <v>13</v>
      </c>
      <c r="G6" s="163" t="str">
        <f>IFERROR(CONCATENATE(VLOOKUP(D6,TableCourses[],2,FALSE)," ",VLOOKUP(D6,TableCourses[],3,FALSE)),"")</f>
        <v>OB-CONMN v.2</v>
      </c>
      <c r="H6" s="163"/>
      <c r="I6" s="163"/>
      <c r="J6" s="163"/>
      <c r="K6" s="163"/>
      <c r="L6" s="164" t="e">
        <f>CONCATENATE(VLOOKUP(D6,TableCourses[],2,FALSE),VLOOKUP(D9,TableStudyPeriod[],2,FALSE))</f>
        <v>#N/A</v>
      </c>
      <c r="O6" s="151"/>
      <c r="P6" s="151"/>
    </row>
    <row r="7" spans="1:16" ht="20.100000000000001" customHeight="1" x14ac:dyDescent="0.25">
      <c r="B7" s="160"/>
      <c r="C7" s="161" t="s">
        <v>15</v>
      </c>
      <c r="D7" s="56" t="s">
        <v>101</v>
      </c>
      <c r="E7" s="163"/>
      <c r="F7" s="161" t="s">
        <v>15</v>
      </c>
      <c r="G7" s="163" t="str">
        <f>IFERROR(CONCATENATE(VLOOKUP(D7,TableStream[],2,FALSE)," ",VLOOKUP(D7,TableStream[],3,FALSE)),"")</f>
        <v/>
      </c>
      <c r="H7" s="163"/>
      <c r="I7" s="163"/>
      <c r="J7" s="163"/>
      <c r="K7" s="163"/>
      <c r="L7" s="164" t="e">
        <f>CONCATENATE(VLOOKUP(D7,TableStream[],2,FALSE),VLOOKUP(D9,TableStudyPeriod[],2,FALSE))</f>
        <v>#N/A</v>
      </c>
    </row>
    <row r="8" spans="1:16" ht="20.100000000000001" customHeight="1" x14ac:dyDescent="0.25">
      <c r="B8" s="160"/>
      <c r="C8" s="161" t="s">
        <v>17</v>
      </c>
      <c r="D8" s="57" t="s">
        <v>119</v>
      </c>
      <c r="E8" s="163"/>
      <c r="F8" s="161" t="s">
        <v>19</v>
      </c>
      <c r="G8" s="163" t="str">
        <f>IFERROR(CONCATENATE(VLOOKUP(D8,TableSpecialisations[],2,FALSE)," ",VLOOKUP(D8,TableSpecialisations[],3,FALSE)),"")</f>
        <v/>
      </c>
      <c r="H8" s="163"/>
      <c r="I8" s="163"/>
      <c r="J8" s="163"/>
      <c r="K8" s="163"/>
      <c r="L8" s="164" t="e">
        <f>CONCATENATE(VLOOKUP(D8,TableSpecialisations[],2,FALSE),VLOOKUP(D9,TableStudyPeriod[],2,FALSE))</f>
        <v>#N/A</v>
      </c>
    </row>
    <row r="9" spans="1:16" ht="20.100000000000001" customHeight="1" x14ac:dyDescent="0.25">
      <c r="A9" s="165"/>
      <c r="B9" s="166"/>
      <c r="C9" s="161" t="s">
        <v>20</v>
      </c>
      <c r="D9" s="58" t="s">
        <v>81</v>
      </c>
      <c r="E9" s="167"/>
      <c r="F9" s="161" t="s">
        <v>22</v>
      </c>
      <c r="G9" s="163" t="str">
        <f>IFERROR(VLOOKUP($D$6,TableCourses[],7,FALSE),"")</f>
        <v>800 credit points required</v>
      </c>
      <c r="H9" s="168"/>
      <c r="I9" s="168"/>
      <c r="J9" s="168"/>
      <c r="K9" s="168"/>
      <c r="L9" s="169"/>
    </row>
    <row r="10" spans="1:16" ht="35.1" customHeight="1" x14ac:dyDescent="0.25">
      <c r="A10" s="170" t="s">
        <v>421</v>
      </c>
      <c r="B10" s="171"/>
      <c r="C10" s="172"/>
      <c r="D10" s="173"/>
      <c r="E10" s="174"/>
      <c r="F10" s="172"/>
      <c r="G10" s="173"/>
      <c r="H10" s="175"/>
      <c r="I10" s="175"/>
      <c r="J10" s="175"/>
      <c r="K10" s="175"/>
      <c r="L10" s="176"/>
    </row>
    <row r="11" spans="1:16" s="184" customFormat="1" ht="14.1" customHeight="1" x14ac:dyDescent="0.25">
      <c r="A11" s="177"/>
      <c r="B11" s="177"/>
      <c r="C11" s="177"/>
      <c r="D11" s="178"/>
      <c r="E11" s="179"/>
      <c r="F11" s="177"/>
      <c r="G11" s="177"/>
      <c r="H11" s="180" t="s">
        <v>23</v>
      </c>
      <c r="I11" s="181"/>
      <c r="J11" s="181"/>
      <c r="K11" s="182"/>
      <c r="L11" s="179"/>
      <c r="M11" s="183"/>
      <c r="N11" s="183"/>
      <c r="O11" s="183"/>
    </row>
    <row r="12" spans="1:16" s="184" customFormat="1" ht="21" x14ac:dyDescent="0.25">
      <c r="A12" s="177" t="s">
        <v>24</v>
      </c>
      <c r="B12" s="177"/>
      <c r="C12" s="177" t="s">
        <v>25</v>
      </c>
      <c r="D12" s="178" t="s">
        <v>3</v>
      </c>
      <c r="E12" s="185" t="s">
        <v>26</v>
      </c>
      <c r="F12" s="186" t="s">
        <v>27</v>
      </c>
      <c r="G12" s="177" t="s">
        <v>28</v>
      </c>
      <c r="H12" s="187" t="s">
        <v>29</v>
      </c>
      <c r="I12" s="188" t="s">
        <v>30</v>
      </c>
      <c r="J12" s="188" t="s">
        <v>31</v>
      </c>
      <c r="K12" s="189" t="s">
        <v>32</v>
      </c>
      <c r="L12" s="177" t="s">
        <v>33</v>
      </c>
      <c r="M12" s="183"/>
      <c r="N12" s="183"/>
      <c r="O12" s="183"/>
    </row>
    <row r="13" spans="1:16" s="199" customFormat="1" ht="20.100000000000001" customHeight="1" x14ac:dyDescent="0.15">
      <c r="A13" s="190" t="str">
        <f>IFERROR(IF(HLOOKUP($L$8,RangeUnitsets,M13,FALSE)=0,"",HLOOKUP($L$8,RangeUnitsets,M13,FALSE)),"")</f>
        <v/>
      </c>
      <c r="B13" s="191" t="str">
        <f>IFERROR(IF(VLOOKUP($A13,TableHandbook[],2,FALSE)=0,"",VLOOKUP($A13,TableHandbook[],2,FALSE)),"")</f>
        <v/>
      </c>
      <c r="C13" s="191" t="str">
        <f>IFERROR(IF(VLOOKUP($A13,TableHandbook[],3,FALSE)=0,"",VLOOKUP($A13,TableHandbook[],3,FALSE)),"")</f>
        <v/>
      </c>
      <c r="D13" s="192" t="str">
        <f>IFERROR(IF(VLOOKUP($A13,TableHandbook[],4,FALSE)=0,"",VLOOKUP($A13,TableHandbook[],4,FALSE)),"")</f>
        <v/>
      </c>
      <c r="E13" s="191" t="str">
        <f>IF(A13="","",VLOOKUP($D$9,TableStudyPeriod[],2,FALSE))</f>
        <v/>
      </c>
      <c r="F13" s="193" t="str">
        <f>IFERROR(IF(VLOOKUP($A13,TableHandbook[],6,FALSE)=0,"",VLOOKUP($A13,TableHandbook[],6,FALSE)),"")</f>
        <v/>
      </c>
      <c r="G13" s="191" t="str">
        <f>IFERROR(IF(VLOOKUP($A13,TableHandbook[],5,FALSE)=0,"",VLOOKUP($A13,TableHandbook[],5,FALSE)),"")</f>
        <v/>
      </c>
      <c r="H13" s="194" t="str">
        <f>IFERROR(VLOOKUP($A13,TableHandbook[],H$2,FALSE),"")</f>
        <v/>
      </c>
      <c r="I13" s="195" t="str">
        <f>IFERROR(VLOOKUP($A13,TableHandbook[],I$2,FALSE),"")</f>
        <v/>
      </c>
      <c r="J13" s="195" t="str">
        <f>IFERROR(VLOOKUP($A13,TableHandbook[],J$2,FALSE),"")</f>
        <v/>
      </c>
      <c r="K13" s="196" t="str">
        <f>IFERROR(VLOOKUP($A13,TableHandbook[],K$2,FALSE),"")</f>
        <v/>
      </c>
      <c r="L13" s="138"/>
      <c r="M13" s="197">
        <v>2</v>
      </c>
      <c r="N13" s="198"/>
      <c r="O13" s="198"/>
    </row>
    <row r="14" spans="1:16" s="199" customFormat="1" ht="20.100000000000001" customHeight="1" x14ac:dyDescent="0.15">
      <c r="A14" s="190" t="str">
        <f>IFERROR(IF(HLOOKUP($L$8,RangeUnitsets,M14,FALSE)=0,"",HLOOKUP($L$8,RangeUnitsets,M14,FALSE)),"")</f>
        <v/>
      </c>
      <c r="B14" s="191" t="str">
        <f>IFERROR(IF(VLOOKUP($A14,TableHandbook[],2,FALSE)=0,"",VLOOKUP($A14,TableHandbook[],2,FALSE)),"")</f>
        <v/>
      </c>
      <c r="C14" s="191" t="str">
        <f>IFERROR(IF(VLOOKUP($A14,TableHandbook[],3,FALSE)=0,"",VLOOKUP($A14,TableHandbook[],3,FALSE)),"")</f>
        <v/>
      </c>
      <c r="D14" s="192" t="str">
        <f>IFERROR(IF(VLOOKUP($A14,TableHandbook[],4,FALSE)=0,"",VLOOKUP($A14,TableHandbook[],4,FALSE)),"")</f>
        <v/>
      </c>
      <c r="E14" s="191" t="str">
        <f>IF(OR(A14="",A14="-"),"",E13)</f>
        <v/>
      </c>
      <c r="F14" s="193" t="str">
        <f>IFERROR(IF(VLOOKUP($A14,TableHandbook[],6,FALSE)=0,"",VLOOKUP($A14,TableHandbook[],6,FALSE)),"")</f>
        <v/>
      </c>
      <c r="G14" s="191" t="str">
        <f>IFERROR(IF(VLOOKUP($A14,TableHandbook[],5,FALSE)=0,"",VLOOKUP($A14,TableHandbook[],5,FALSE)),"")</f>
        <v/>
      </c>
      <c r="H14" s="194" t="str">
        <f>IFERROR(VLOOKUP($A14,TableHandbook[],H$2,FALSE),"")</f>
        <v/>
      </c>
      <c r="I14" s="195" t="str">
        <f>IFERROR(VLOOKUP($A14,TableHandbook[],I$2,FALSE),"")</f>
        <v/>
      </c>
      <c r="J14" s="195" t="str">
        <f>IFERROR(VLOOKUP($A14,TableHandbook[],J$2,FALSE),"")</f>
        <v/>
      </c>
      <c r="K14" s="196" t="str">
        <f>IFERROR(VLOOKUP($A14,TableHandbook[],K$2,FALSE),"")</f>
        <v/>
      </c>
      <c r="L14" s="138"/>
      <c r="M14" s="197">
        <v>3</v>
      </c>
      <c r="N14" s="198"/>
      <c r="O14" s="198"/>
    </row>
    <row r="15" spans="1:16" s="199" customFormat="1" ht="5.0999999999999996" customHeight="1" x14ac:dyDescent="0.15">
      <c r="A15" s="200"/>
      <c r="B15" s="201"/>
      <c r="C15" s="201"/>
      <c r="D15" s="202"/>
      <c r="E15" s="201"/>
      <c r="F15" s="203"/>
      <c r="G15" s="201"/>
      <c r="H15" s="204"/>
      <c r="I15" s="205"/>
      <c r="J15" s="205"/>
      <c r="K15" s="206"/>
      <c r="L15" s="139"/>
      <c r="M15" s="197"/>
      <c r="N15" s="198"/>
      <c r="O15" s="198"/>
      <c r="P15" s="198"/>
    </row>
    <row r="16" spans="1:16" s="199" customFormat="1" ht="20.100000000000001" customHeight="1" x14ac:dyDescent="0.15">
      <c r="A16" s="190" t="str">
        <f>IFERROR(IF(HLOOKUP($L$8,RangeUnitsets,M16,FALSE)=0,"",HLOOKUP($L$8,RangeUnitsets,M16,FALSE)),"")</f>
        <v/>
      </c>
      <c r="B16" s="191" t="str">
        <f>IFERROR(IF(VLOOKUP($A16,TableHandbook[],2,FALSE)=0,"",VLOOKUP($A16,TableHandbook[],2,FALSE)),"")</f>
        <v/>
      </c>
      <c r="C16" s="191" t="str">
        <f>IFERROR(IF(VLOOKUP($A16,TableHandbook[],3,FALSE)=0,"",VLOOKUP($A16,TableHandbook[],3,FALSE)),"")</f>
        <v/>
      </c>
      <c r="D16" s="192" t="str">
        <f>IFERROR(IF(VLOOKUP($A16,TableHandbook[],4,FALSE)=0,"",VLOOKUP($A16,TableHandbook[],4,FALSE)),"")</f>
        <v/>
      </c>
      <c r="E16" s="191" t="str">
        <f>IF(A16="","",VLOOKUP($D$9,TableStudyPeriod[],3,FALSE))</f>
        <v/>
      </c>
      <c r="F16" s="193" t="str">
        <f>IFERROR(IF(VLOOKUP($A16,TableHandbook[],6,FALSE)=0,"",VLOOKUP($A16,TableHandbook[],6,FALSE)),"")</f>
        <v/>
      </c>
      <c r="G16" s="191" t="str">
        <f>IFERROR(IF(VLOOKUP($A16,TableHandbook[],5,FALSE)=0,"",VLOOKUP($A16,TableHandbook[],5,FALSE)),"")</f>
        <v/>
      </c>
      <c r="H16" s="194" t="str">
        <f>IFERROR(VLOOKUP(A16,TableHandbook[],7,FALSE),"")</f>
        <v/>
      </c>
      <c r="I16" s="195" t="str">
        <f>IFERROR(VLOOKUP(A16,TableHandbook[],8,FALSE),"")</f>
        <v/>
      </c>
      <c r="J16" s="195" t="str">
        <f>IFERROR(VLOOKUP(A16,TableHandbook[],9,FALSE),"")</f>
        <v/>
      </c>
      <c r="K16" s="196" t="str">
        <f>IFERROR(VLOOKUP(A16,TableHandbook[],10,FALSE),"")</f>
        <v/>
      </c>
      <c r="L16" s="140"/>
      <c r="M16" s="197">
        <v>4</v>
      </c>
      <c r="N16" s="198"/>
      <c r="O16" s="198"/>
    </row>
    <row r="17" spans="1:16" s="199" customFormat="1" ht="20.100000000000001" customHeight="1" x14ac:dyDescent="0.15">
      <c r="A17" s="190" t="str">
        <f>IFERROR(IF(HLOOKUP($L$8,RangeUnitsets,M17,FALSE)=0,"",HLOOKUP($L$8,RangeUnitsets,M17,FALSE)),"")</f>
        <v/>
      </c>
      <c r="B17" s="191" t="str">
        <f>IFERROR(IF(VLOOKUP($A17,TableHandbook[],2,FALSE)=0,"",VLOOKUP($A17,TableHandbook[],2,FALSE)),"")</f>
        <v/>
      </c>
      <c r="C17" s="191" t="str">
        <f>IFERROR(IF(VLOOKUP($A17,TableHandbook[],3,FALSE)=0,"",VLOOKUP($A17,TableHandbook[],3,FALSE)),"")</f>
        <v/>
      </c>
      <c r="D17" s="192" t="str">
        <f>IFERROR(IF(VLOOKUP($A17,TableHandbook[],4,FALSE)=0,"",VLOOKUP($A17,TableHandbook[],4,FALSE)),"")</f>
        <v/>
      </c>
      <c r="E17" s="191" t="str">
        <f>IF(OR(A17="",A17="-"),"",E16)</f>
        <v/>
      </c>
      <c r="F17" s="193" t="str">
        <f>IFERROR(IF(VLOOKUP($A17,TableHandbook[],6,FALSE)=0,"",VLOOKUP($A17,TableHandbook[],6,FALSE)),"")</f>
        <v/>
      </c>
      <c r="G17" s="191" t="str">
        <f>IFERROR(IF(VLOOKUP($A17,TableHandbook[],5,FALSE)=0,"",VLOOKUP($A17,TableHandbook[],5,FALSE)),"")</f>
        <v/>
      </c>
      <c r="H17" s="194" t="str">
        <f>IFERROR(VLOOKUP(A17,TableHandbook[],7,FALSE),"")</f>
        <v/>
      </c>
      <c r="I17" s="195" t="str">
        <f>IFERROR(VLOOKUP(A17,TableHandbook[],8,FALSE),"")</f>
        <v/>
      </c>
      <c r="J17" s="195" t="str">
        <f>IFERROR(VLOOKUP(A17,TableHandbook[],9,FALSE),"")</f>
        <v/>
      </c>
      <c r="K17" s="196" t="str">
        <f>IFERROR(VLOOKUP(A17,TableHandbook[],10,FALSE),"")</f>
        <v/>
      </c>
      <c r="L17" s="138"/>
      <c r="M17" s="197">
        <v>5</v>
      </c>
      <c r="N17" s="198"/>
      <c r="O17" s="198"/>
    </row>
    <row r="18" spans="1:16" s="199" customFormat="1" ht="5.0999999999999996" customHeight="1" x14ac:dyDescent="0.15">
      <c r="A18" s="200"/>
      <c r="B18" s="201"/>
      <c r="C18" s="201"/>
      <c r="D18" s="202"/>
      <c r="E18" s="201"/>
      <c r="F18" s="203"/>
      <c r="G18" s="201"/>
      <c r="H18" s="204"/>
      <c r="I18" s="205"/>
      <c r="J18" s="205"/>
      <c r="K18" s="206"/>
      <c r="L18" s="139"/>
      <c r="M18" s="197"/>
      <c r="N18" s="198"/>
      <c r="O18" s="198"/>
      <c r="P18" s="198"/>
    </row>
    <row r="19" spans="1:16" s="199" customFormat="1" ht="20.100000000000001" customHeight="1" x14ac:dyDescent="0.15">
      <c r="A19" s="190" t="str">
        <f>IFERROR(IF(HLOOKUP($L$8,RangeUnitsets,M19,FALSE)=0,"",HLOOKUP($L$8,RangeUnitsets,M19,FALSE)),"")</f>
        <v/>
      </c>
      <c r="B19" s="207" t="str">
        <f>IFERROR(IF(VLOOKUP($A19,TableHandbook[],2,FALSE)=0,"",VLOOKUP($A19,TableHandbook[],2,FALSE)),"")</f>
        <v/>
      </c>
      <c r="C19" s="207" t="str">
        <f>IFERROR(IF(VLOOKUP($A19,TableHandbook[],3,FALSE)=0,"",VLOOKUP($A19,TableHandbook[],3,FALSE)),"")</f>
        <v/>
      </c>
      <c r="D19" s="192" t="str">
        <f>IFERROR(IF(VLOOKUP($A19,TableHandbook[],4,FALSE)=0,"",VLOOKUP($A19,TableHandbook[],4,FALSE)),"")</f>
        <v/>
      </c>
      <c r="E19" s="191" t="str">
        <f>IF(A19="","",VLOOKUP($D$9,TableStudyPeriod[],4,FALSE))</f>
        <v/>
      </c>
      <c r="F19" s="193" t="str">
        <f>IFERROR(IF(VLOOKUP($A19,TableHandbook[],6,FALSE)=0,"",VLOOKUP($A19,TableHandbook[],6,FALSE)),"")</f>
        <v/>
      </c>
      <c r="G19" s="207" t="str">
        <f>IFERROR(IF(VLOOKUP($A19,TableHandbook[],5,FALSE)=0,"",VLOOKUP($A19,TableHandbook[],5,FALSE)),"")</f>
        <v/>
      </c>
      <c r="H19" s="208" t="str">
        <f>IFERROR(VLOOKUP(A19,TableHandbook[],7,FALSE),"")</f>
        <v/>
      </c>
      <c r="I19" s="209" t="str">
        <f>IFERROR(VLOOKUP(A19,TableHandbook[],8,FALSE),"")</f>
        <v/>
      </c>
      <c r="J19" s="209" t="str">
        <f>IFERROR(VLOOKUP(A19,TableHandbook[],9,FALSE),"")</f>
        <v/>
      </c>
      <c r="K19" s="210" t="str">
        <f>IFERROR(VLOOKUP(A19,TableHandbook[],10,FALSE),"")</f>
        <v/>
      </c>
      <c r="L19" s="140"/>
      <c r="M19" s="197">
        <v>6</v>
      </c>
      <c r="N19" s="198"/>
      <c r="O19" s="198"/>
    </row>
    <row r="20" spans="1:16" s="212" customFormat="1" ht="20.100000000000001" customHeight="1" x14ac:dyDescent="0.15">
      <c r="A20" s="190" t="str">
        <f>IFERROR(IF(HLOOKUP($L$8,RangeUnitsets,M20,FALSE)=0,"",HLOOKUP($L$8,RangeUnitsets,M20,FALSE)),"")</f>
        <v/>
      </c>
      <c r="B20" s="207" t="str">
        <f>IFERROR(IF(VLOOKUP($A20,TableHandbook[],2,FALSE)=0,"",VLOOKUP($A20,TableHandbook[],2,FALSE)),"")</f>
        <v/>
      </c>
      <c r="C20" s="207" t="str">
        <f>IFERROR(IF(VLOOKUP($A20,TableHandbook[],3,FALSE)=0,"",VLOOKUP($A20,TableHandbook[],3,FALSE)),"")</f>
        <v/>
      </c>
      <c r="D20" s="192" t="str">
        <f>IFERROR(IF(VLOOKUP($A20,TableHandbook[],4,FALSE)=0,"",VLOOKUP($A20,TableHandbook[],4,FALSE)),"")</f>
        <v/>
      </c>
      <c r="E20" s="191" t="str">
        <f>IF(OR(A20="",A20="-"),"",E19)</f>
        <v/>
      </c>
      <c r="F20" s="193" t="str">
        <f>IFERROR(IF(VLOOKUP($A20,TableHandbook[],6,FALSE)=0,"",VLOOKUP($A20,TableHandbook[],6,FALSE)),"")</f>
        <v/>
      </c>
      <c r="G20" s="207" t="str">
        <f>IFERROR(IF(VLOOKUP($A20,TableHandbook[],5,FALSE)=0,"",VLOOKUP($A20,TableHandbook[],5,FALSE)),"")</f>
        <v/>
      </c>
      <c r="H20" s="208" t="str">
        <f>IFERROR(VLOOKUP(A20,TableHandbook[],7,FALSE),"")</f>
        <v/>
      </c>
      <c r="I20" s="209" t="str">
        <f>IFERROR(VLOOKUP(A20,TableHandbook[],8,FALSE),"")</f>
        <v/>
      </c>
      <c r="J20" s="209" t="str">
        <f>IFERROR(VLOOKUP(A20,TableHandbook[],9,FALSE),"")</f>
        <v/>
      </c>
      <c r="K20" s="210" t="str">
        <f>IFERROR(VLOOKUP(A20,TableHandbook[],10,FALSE),"")</f>
        <v/>
      </c>
      <c r="L20" s="140"/>
      <c r="M20" s="197">
        <v>7</v>
      </c>
      <c r="N20" s="211"/>
      <c r="O20" s="211"/>
    </row>
    <row r="21" spans="1:16" s="199" customFormat="1" ht="5.0999999999999996" customHeight="1" x14ac:dyDescent="0.15">
      <c r="A21" s="200"/>
      <c r="B21" s="201"/>
      <c r="C21" s="201"/>
      <c r="D21" s="202"/>
      <c r="E21" s="201"/>
      <c r="F21" s="203"/>
      <c r="G21" s="201"/>
      <c r="H21" s="204"/>
      <c r="I21" s="205"/>
      <c r="J21" s="205"/>
      <c r="K21" s="206"/>
      <c r="L21" s="139"/>
      <c r="M21" s="197"/>
      <c r="N21" s="198"/>
      <c r="O21" s="198"/>
      <c r="P21" s="198"/>
    </row>
    <row r="22" spans="1:16" s="212" customFormat="1" ht="20.100000000000001" customHeight="1" x14ac:dyDescent="0.15">
      <c r="A22" s="190" t="str">
        <f>IFERROR(IF(HLOOKUP($L$8,RangeUnitsets,M22,FALSE)=0,"",HLOOKUP($L$8,RangeUnitsets,M22,FALSE)),"")</f>
        <v/>
      </c>
      <c r="B22" s="207" t="str">
        <f>IFERROR(IF(VLOOKUP($A22,TableHandbook[],2,FALSE)=0,"",VLOOKUP($A22,TableHandbook[],2,FALSE)),"")</f>
        <v/>
      </c>
      <c r="C22" s="207" t="str">
        <f>IFERROR(IF(VLOOKUP($A22,TableHandbook[],3,FALSE)=0,"",VLOOKUP($A22,TableHandbook[],3,FALSE)),"")</f>
        <v/>
      </c>
      <c r="D22" s="192" t="str">
        <f>IFERROR(IF(VLOOKUP($A22,TableHandbook[],4,FALSE)=0,"",VLOOKUP($A22,TableHandbook[],4,FALSE)),"")</f>
        <v/>
      </c>
      <c r="E22" s="191" t="str">
        <f>IF(A22="","",VLOOKUP($D$9,TableStudyPeriod[],5,FALSE))</f>
        <v/>
      </c>
      <c r="F22" s="193" t="str">
        <f>IFERROR(IF(VLOOKUP($A22,TableHandbook[],6,FALSE)=0,"",VLOOKUP($A22,TableHandbook[],6,FALSE)),"")</f>
        <v/>
      </c>
      <c r="G22" s="207" t="str">
        <f>IFERROR(IF(VLOOKUP($A22,TableHandbook[],5,FALSE)=0,"",VLOOKUP($A22,TableHandbook[],5,FALSE)),"")</f>
        <v/>
      </c>
      <c r="H22" s="208" t="str">
        <f>IFERROR(VLOOKUP(A22,TableHandbook[],7,FALSE),"")</f>
        <v/>
      </c>
      <c r="I22" s="209" t="str">
        <f>IFERROR(VLOOKUP(A22,TableHandbook[],8,FALSE),"")</f>
        <v/>
      </c>
      <c r="J22" s="209" t="str">
        <f>IFERROR(VLOOKUP(A22,TableHandbook[],9,FALSE),"")</f>
        <v/>
      </c>
      <c r="K22" s="210" t="str">
        <f>IFERROR(VLOOKUP(A22,TableHandbook[],10,FALSE),"")</f>
        <v/>
      </c>
      <c r="L22" s="140"/>
      <c r="M22" s="197">
        <v>8</v>
      </c>
      <c r="N22" s="211"/>
      <c r="O22" s="211"/>
    </row>
    <row r="23" spans="1:16" s="212" customFormat="1" ht="20.100000000000001" customHeight="1" x14ac:dyDescent="0.15">
      <c r="A23" s="190" t="str">
        <f>IFERROR(IF(HLOOKUP($L$8,RangeUnitsets,M23,FALSE)=0,"",HLOOKUP($L$8,RangeUnitsets,M23,FALSE)),"")</f>
        <v/>
      </c>
      <c r="B23" s="207" t="str">
        <f>IFERROR(IF(VLOOKUP($A23,TableHandbook[],2,FALSE)=0,"",VLOOKUP($A23,TableHandbook[],2,FALSE)),"")</f>
        <v/>
      </c>
      <c r="C23" s="207" t="str">
        <f>IFERROR(IF(VLOOKUP($A23,TableHandbook[],3,FALSE)=0,"",VLOOKUP($A23,TableHandbook[],3,FALSE)),"")</f>
        <v/>
      </c>
      <c r="D23" s="213" t="str">
        <f>IFERROR(IF(VLOOKUP($A23,TableHandbook[],4,FALSE)=0,"",VLOOKUP($A23,TableHandbook[],4,FALSE)),"")</f>
        <v/>
      </c>
      <c r="E23" s="207" t="str">
        <f>IF(OR(A23="",A23="-"),"",E22)</f>
        <v/>
      </c>
      <c r="F23" s="193" t="str">
        <f>IFERROR(IF(VLOOKUP($A23,TableHandbook[],6,FALSE)=0,"",VLOOKUP($A23,TableHandbook[],6,FALSE)),"")</f>
        <v/>
      </c>
      <c r="G23" s="207" t="str">
        <f>IFERROR(IF(VLOOKUP($A23,TableHandbook[],5,FALSE)=0,"",VLOOKUP($A23,TableHandbook[],5,FALSE)),"")</f>
        <v/>
      </c>
      <c r="H23" s="208" t="str">
        <f>IFERROR(VLOOKUP(A23,TableHandbook[],7,FALSE),"")</f>
        <v/>
      </c>
      <c r="I23" s="209" t="str">
        <f>IFERROR(VLOOKUP(A23,TableHandbook[],8,FALSE),"")</f>
        <v/>
      </c>
      <c r="J23" s="209" t="str">
        <f>IFERROR(VLOOKUP(A23,TableHandbook[],9,FALSE),"")</f>
        <v/>
      </c>
      <c r="K23" s="210" t="str">
        <f>IFERROR(VLOOKUP(A23,TableHandbook[],10,FALSE),"")</f>
        <v/>
      </c>
      <c r="L23" s="140"/>
      <c r="M23" s="197">
        <v>9</v>
      </c>
      <c r="N23" s="211"/>
      <c r="O23" s="211"/>
    </row>
    <row r="24" spans="1:16" s="184" customFormat="1" ht="21" x14ac:dyDescent="0.25">
      <c r="A24" s="177" t="s">
        <v>34</v>
      </c>
      <c r="B24" s="177"/>
      <c r="C24" s="177" t="s">
        <v>25</v>
      </c>
      <c r="D24" s="178" t="s">
        <v>3</v>
      </c>
      <c r="E24" s="185" t="s">
        <v>26</v>
      </c>
      <c r="F24" s="186" t="s">
        <v>27</v>
      </c>
      <c r="G24" s="177" t="s">
        <v>28</v>
      </c>
      <c r="H24" s="187" t="str">
        <f>H$12</f>
        <v>SP1</v>
      </c>
      <c r="I24" s="188" t="str">
        <f t="shared" ref="I24:L24" si="0">I$12</f>
        <v>SP2</v>
      </c>
      <c r="J24" s="188" t="str">
        <f t="shared" si="0"/>
        <v>SP3</v>
      </c>
      <c r="K24" s="189" t="str">
        <f t="shared" si="0"/>
        <v>SP4</v>
      </c>
      <c r="L24" s="177" t="str">
        <f t="shared" si="0"/>
        <v>Notes / Progress</v>
      </c>
      <c r="M24" s="214"/>
      <c r="N24" s="183"/>
      <c r="O24" s="183"/>
    </row>
    <row r="25" spans="1:16" s="199" customFormat="1" ht="20.100000000000001" customHeight="1" x14ac:dyDescent="0.15">
      <c r="A25" s="190" t="str">
        <f>IFERROR(IF(HLOOKUP($L$8,RangeUnitsets,M25,FALSE)=0,"",HLOOKUP($L$8,RangeUnitsets,M25,FALSE)),"")</f>
        <v/>
      </c>
      <c r="B25" s="207" t="str">
        <f>IFERROR(IF(VLOOKUP($A25,TableHandbook[],2,FALSE)=0,"",VLOOKUP($A25,TableHandbook[],2,FALSE)),"")</f>
        <v/>
      </c>
      <c r="C25" s="207" t="str">
        <f>IFERROR(IF(VLOOKUP($A25,TableHandbook[],3,FALSE)=0,"",VLOOKUP($A25,TableHandbook[],3,FALSE)),"")</f>
        <v/>
      </c>
      <c r="D25" s="215" t="str">
        <f>IFERROR(IF(VLOOKUP($A25,TableHandbook[],4,FALSE)=0,"",VLOOKUP($A25,TableHandbook[],4,FALSE)),"")</f>
        <v/>
      </c>
      <c r="E25" s="207" t="str">
        <f>IF(A25="","",VLOOKUP($D$9,TableStudyPeriod[],2,FALSE))</f>
        <v/>
      </c>
      <c r="F25" s="193" t="str">
        <f>IFERROR(IF(VLOOKUP($A25,TableHandbook[],6,FALSE)=0,"",VLOOKUP($A25,TableHandbook[],6,FALSE)),"")</f>
        <v/>
      </c>
      <c r="G25" s="191" t="str">
        <f>IFERROR(IF(VLOOKUP($A25,TableHandbook[],5,FALSE)=0,"",VLOOKUP($A25,TableHandbook[],5,FALSE)),"")</f>
        <v/>
      </c>
      <c r="H25" s="194" t="str">
        <f>IFERROR(VLOOKUP(A25,TableHandbook[],7,FALSE),"")</f>
        <v/>
      </c>
      <c r="I25" s="195" t="str">
        <f>IFERROR(VLOOKUP(A25,TableHandbook[],8,FALSE),"")</f>
        <v/>
      </c>
      <c r="J25" s="195" t="str">
        <f>IFERROR(VLOOKUP(A25,TableHandbook[],9,FALSE),"")</f>
        <v/>
      </c>
      <c r="K25" s="196" t="str">
        <f>IFERROR(VLOOKUP(A25,TableHandbook[],10,FALSE),"")</f>
        <v/>
      </c>
      <c r="L25" s="138"/>
      <c r="M25" s="197">
        <v>10</v>
      </c>
      <c r="N25" s="198"/>
      <c r="O25" s="198"/>
    </row>
    <row r="26" spans="1:16" s="199" customFormat="1" ht="20.100000000000001" customHeight="1" x14ac:dyDescent="0.15">
      <c r="A26" s="190" t="str">
        <f>IFERROR(IF(HLOOKUP($L$8,RangeUnitsets,M26,FALSE)=0,"",HLOOKUP($L$8,RangeUnitsets,M26,FALSE)),"")</f>
        <v/>
      </c>
      <c r="B26" s="207" t="str">
        <f>IFERROR(IF(VLOOKUP($A26,TableHandbook[],2,FALSE)=0,"",VLOOKUP($A26,TableHandbook[],2,FALSE)),"")</f>
        <v/>
      </c>
      <c r="C26" s="207" t="str">
        <f>IFERROR(IF(VLOOKUP($A26,TableHandbook[],3,FALSE)=0,"",VLOOKUP($A26,TableHandbook[],3,FALSE)),"")</f>
        <v/>
      </c>
      <c r="D26" s="213" t="str">
        <f>IFERROR(IF(VLOOKUP($A26,TableHandbook[],4,FALSE)=0,"",VLOOKUP($A26,TableHandbook[],4,FALSE)),"")</f>
        <v/>
      </c>
      <c r="E26" s="207" t="str">
        <f>IF(OR(A26="",A26="-"),"",E25)</f>
        <v/>
      </c>
      <c r="F26" s="193" t="str">
        <f>IFERROR(IF(VLOOKUP($A26,TableHandbook[],6,FALSE)=0,"",VLOOKUP($A26,TableHandbook[],6,FALSE)),"")</f>
        <v/>
      </c>
      <c r="G26" s="191" t="str">
        <f>IFERROR(IF(VLOOKUP($A26,TableHandbook[],5,FALSE)=0,"",VLOOKUP($A26,TableHandbook[],5,FALSE)),"")</f>
        <v/>
      </c>
      <c r="H26" s="194" t="str">
        <f>IFERROR(VLOOKUP(A26,TableHandbook[],7,FALSE),"")</f>
        <v/>
      </c>
      <c r="I26" s="195" t="str">
        <f>IFERROR(VLOOKUP(A26,TableHandbook[],8,FALSE),"")</f>
        <v/>
      </c>
      <c r="J26" s="195" t="str">
        <f>IFERROR(VLOOKUP(A26,TableHandbook[],9,FALSE),"")</f>
        <v/>
      </c>
      <c r="K26" s="196" t="str">
        <f>IFERROR(VLOOKUP(A26,TableHandbook[],10,FALSE),"")</f>
        <v/>
      </c>
      <c r="L26" s="138"/>
      <c r="M26" s="197">
        <v>11</v>
      </c>
      <c r="N26" s="198"/>
      <c r="O26" s="198"/>
    </row>
    <row r="27" spans="1:16" s="199" customFormat="1" ht="5.0999999999999996" customHeight="1" x14ac:dyDescent="0.15">
      <c r="A27" s="200"/>
      <c r="B27" s="201"/>
      <c r="C27" s="201"/>
      <c r="D27" s="202"/>
      <c r="E27" s="201"/>
      <c r="F27" s="203"/>
      <c r="G27" s="201"/>
      <c r="H27" s="204"/>
      <c r="I27" s="205"/>
      <c r="J27" s="205"/>
      <c r="K27" s="206"/>
      <c r="L27" s="139"/>
      <c r="M27" s="197"/>
      <c r="N27" s="198"/>
      <c r="O27" s="198"/>
      <c r="P27" s="198"/>
    </row>
    <row r="28" spans="1:16" s="199" customFormat="1" ht="20.100000000000001" customHeight="1" x14ac:dyDescent="0.15">
      <c r="A28" s="190" t="str">
        <f>IFERROR(IF(HLOOKUP($L$8,RangeUnitsets,M28,FALSE)=0,"",HLOOKUP($L$8,RangeUnitsets,M28,FALSE)),"")</f>
        <v/>
      </c>
      <c r="B28" s="207" t="str">
        <f>IFERROR(IF(VLOOKUP($A28,TableHandbook[],2,FALSE)=0,"",VLOOKUP($A28,TableHandbook[],2,FALSE)),"")</f>
        <v/>
      </c>
      <c r="C28" s="207" t="str">
        <f>IFERROR(IF(VLOOKUP($A28,TableHandbook[],3,FALSE)=0,"",VLOOKUP($A28,TableHandbook[],3,FALSE)),"")</f>
        <v/>
      </c>
      <c r="D28" s="213" t="str">
        <f>IFERROR(IF(VLOOKUP($A28,TableHandbook[],4,FALSE)=0,"",VLOOKUP($A28,TableHandbook[],4,FALSE)),"")</f>
        <v/>
      </c>
      <c r="E28" s="207" t="str">
        <f>IF(A28="","",VLOOKUP($D$9,TableStudyPeriod[],3,FALSE))</f>
        <v/>
      </c>
      <c r="F28" s="193" t="str">
        <f>IFERROR(IF(VLOOKUP($A28,TableHandbook[],6,FALSE)=0,"",VLOOKUP($A28,TableHandbook[],6,FALSE)),"")</f>
        <v/>
      </c>
      <c r="G28" s="191" t="str">
        <f>IFERROR(IF(VLOOKUP($A28,TableHandbook[],5,FALSE)=0,"",VLOOKUP($A28,TableHandbook[],5,FALSE)),"")</f>
        <v/>
      </c>
      <c r="H28" s="194" t="str">
        <f>IFERROR(VLOOKUP(A28,TableHandbook[],7,FALSE),"")</f>
        <v/>
      </c>
      <c r="I28" s="195" t="str">
        <f>IFERROR(VLOOKUP(A28,TableHandbook[],8,FALSE),"")</f>
        <v/>
      </c>
      <c r="J28" s="195" t="str">
        <f>IFERROR(VLOOKUP(A28,TableHandbook[],9,FALSE),"")</f>
        <v/>
      </c>
      <c r="K28" s="196" t="str">
        <f>IFERROR(VLOOKUP(A28,TableHandbook[],10,FALSE),"")</f>
        <v/>
      </c>
      <c r="L28" s="138"/>
      <c r="M28" s="197">
        <v>12</v>
      </c>
      <c r="N28" s="198"/>
      <c r="O28" s="198"/>
    </row>
    <row r="29" spans="1:16" s="199" customFormat="1" ht="20.100000000000001" customHeight="1" x14ac:dyDescent="0.15">
      <c r="A29" s="190" t="str">
        <f>IFERROR(IF(HLOOKUP($L$8,RangeUnitsets,M29,FALSE)=0,"",HLOOKUP($L$8,RangeUnitsets,M29,FALSE)),"")</f>
        <v/>
      </c>
      <c r="B29" s="207" t="str">
        <f>IFERROR(IF(VLOOKUP($A29,TableHandbook[],2,FALSE)=0,"",VLOOKUP($A29,TableHandbook[],2,FALSE)),"")</f>
        <v/>
      </c>
      <c r="C29" s="207" t="str">
        <f>IFERROR(IF(VLOOKUP($A29,TableHandbook[],3,FALSE)=0,"",VLOOKUP($A29,TableHandbook[],3,FALSE)),"")</f>
        <v/>
      </c>
      <c r="D29" s="213" t="str">
        <f>IFERROR(IF(VLOOKUP($A29,TableHandbook[],4,FALSE)=0,"",VLOOKUP($A29,TableHandbook[],4,FALSE)),"")</f>
        <v/>
      </c>
      <c r="E29" s="207" t="str">
        <f>IF(OR(A29="",A29="-"),"",E28)</f>
        <v/>
      </c>
      <c r="F29" s="193" t="str">
        <f>IFERROR(IF(VLOOKUP($A29,TableHandbook[],6,FALSE)=0,"",VLOOKUP($A29,TableHandbook[],6,FALSE)),"")</f>
        <v/>
      </c>
      <c r="G29" s="191" t="str">
        <f>IFERROR(IF(VLOOKUP($A29,TableHandbook[],5,FALSE)=0,"",VLOOKUP($A29,TableHandbook[],5,FALSE)),"")</f>
        <v/>
      </c>
      <c r="H29" s="194" t="str">
        <f>IFERROR(VLOOKUP(A29,TableHandbook[],7,FALSE),"")</f>
        <v/>
      </c>
      <c r="I29" s="195" t="str">
        <f>IFERROR(VLOOKUP(A29,TableHandbook[],8,FALSE),"")</f>
        <v/>
      </c>
      <c r="J29" s="195" t="str">
        <f>IFERROR(VLOOKUP(A29,TableHandbook[],9,FALSE),"")</f>
        <v/>
      </c>
      <c r="K29" s="196" t="str">
        <f>IFERROR(VLOOKUP(A29,TableHandbook[],10,FALSE),"")</f>
        <v/>
      </c>
      <c r="L29" s="138"/>
      <c r="M29" s="197">
        <v>13</v>
      </c>
      <c r="N29" s="198"/>
      <c r="O29" s="198"/>
    </row>
    <row r="30" spans="1:16" s="199" customFormat="1" ht="5.0999999999999996" customHeight="1" x14ac:dyDescent="0.15">
      <c r="A30" s="200"/>
      <c r="B30" s="201"/>
      <c r="C30" s="201"/>
      <c r="D30" s="202"/>
      <c r="E30" s="201"/>
      <c r="F30" s="203"/>
      <c r="G30" s="201"/>
      <c r="H30" s="204"/>
      <c r="I30" s="205"/>
      <c r="J30" s="205"/>
      <c r="K30" s="206"/>
      <c r="L30" s="139"/>
      <c r="M30" s="197"/>
      <c r="N30" s="198"/>
      <c r="O30" s="198"/>
      <c r="P30" s="198"/>
    </row>
    <row r="31" spans="1:16" s="199" customFormat="1" ht="20.100000000000001" customHeight="1" x14ac:dyDescent="0.15">
      <c r="A31" s="190" t="str">
        <f>IFERROR(IF(HLOOKUP($L$8,RangeUnitsets,M31,FALSE)=0,"",HLOOKUP($L$8,RangeUnitsets,M31,FALSE)),"")</f>
        <v/>
      </c>
      <c r="B31" s="207" t="str">
        <f>IFERROR(IF(VLOOKUP($A31,TableHandbook[],2,FALSE)=0,"",VLOOKUP($A31,TableHandbook[],2,FALSE)),"")</f>
        <v/>
      </c>
      <c r="C31" s="207" t="str">
        <f>IFERROR(IF(VLOOKUP($A31,TableHandbook[],3,FALSE)=0,"",VLOOKUP($A31,TableHandbook[],3,FALSE)),"")</f>
        <v/>
      </c>
      <c r="D31" s="213" t="str">
        <f>IFERROR(IF(VLOOKUP($A31,TableHandbook[],4,FALSE)=0,"",VLOOKUP($A31,TableHandbook[],4,FALSE)),"")</f>
        <v/>
      </c>
      <c r="E31" s="207" t="str">
        <f>IF(A31="","",VLOOKUP($D$9,TableStudyPeriod[],4,FALSE))</f>
        <v/>
      </c>
      <c r="F31" s="193" t="str">
        <f>IFERROR(IF(VLOOKUP($A31,TableHandbook[],6,FALSE)=0,"",VLOOKUP($A31,TableHandbook[],6,FALSE)),"")</f>
        <v/>
      </c>
      <c r="G31" s="191" t="str">
        <f>IFERROR(IF(VLOOKUP($A31,TableHandbook[],5,FALSE)=0,"",VLOOKUP($A31,TableHandbook[],5,FALSE)),"")</f>
        <v/>
      </c>
      <c r="H31" s="194" t="str">
        <f>IFERROR(VLOOKUP(A31,TableHandbook[],7,FALSE),"")</f>
        <v/>
      </c>
      <c r="I31" s="195" t="str">
        <f>IFERROR(VLOOKUP(A31,TableHandbook[],8,FALSE),"")</f>
        <v/>
      </c>
      <c r="J31" s="195" t="str">
        <f>IFERROR(VLOOKUP(A31,TableHandbook[],9,FALSE),"")</f>
        <v/>
      </c>
      <c r="K31" s="196" t="str">
        <f>IFERROR(VLOOKUP(A31,TableHandbook[],10,FALSE),"")</f>
        <v/>
      </c>
      <c r="L31" s="138"/>
      <c r="M31" s="197">
        <v>14</v>
      </c>
      <c r="N31" s="198"/>
      <c r="O31" s="198"/>
    </row>
    <row r="32" spans="1:16" s="199" customFormat="1" ht="20.100000000000001" customHeight="1" x14ac:dyDescent="0.15">
      <c r="A32" s="190" t="str">
        <f>IFERROR(IF(HLOOKUP($L$8,RangeUnitsets,M32,FALSE)=0,"",HLOOKUP($L$8,RangeUnitsets,M32,FALSE)),"")</f>
        <v/>
      </c>
      <c r="B32" s="207" t="str">
        <f>IFERROR(IF(VLOOKUP($A32,TableHandbook[],2,FALSE)=0,"",VLOOKUP($A32,TableHandbook[],2,FALSE)),"")</f>
        <v/>
      </c>
      <c r="C32" s="207" t="str">
        <f>IFERROR(IF(VLOOKUP($A32,TableHandbook[],3,FALSE)=0,"",VLOOKUP($A32,TableHandbook[],3,FALSE)),"")</f>
        <v/>
      </c>
      <c r="D32" s="213" t="str">
        <f>IFERROR(IF(VLOOKUP($A32,TableHandbook[],4,FALSE)=0,"",VLOOKUP($A32,TableHandbook[],4,FALSE)),"")</f>
        <v/>
      </c>
      <c r="E32" s="207" t="str">
        <f>IF(OR(A32="",A32="-"),"",E31)</f>
        <v/>
      </c>
      <c r="F32" s="193" t="str">
        <f>IFERROR(IF(VLOOKUP($A32,TableHandbook[],6,FALSE)=0,"",VLOOKUP($A32,TableHandbook[],6,FALSE)),"")</f>
        <v/>
      </c>
      <c r="G32" s="191" t="str">
        <f>IFERROR(IF(VLOOKUP($A32,TableHandbook[],5,FALSE)=0,"",VLOOKUP($A32,TableHandbook[],5,FALSE)),"")</f>
        <v/>
      </c>
      <c r="H32" s="194" t="str">
        <f>IFERROR(VLOOKUP(A32,TableHandbook[],7,FALSE),"")</f>
        <v/>
      </c>
      <c r="I32" s="195" t="str">
        <f>IFERROR(VLOOKUP(A32,TableHandbook[],8,FALSE),"")</f>
        <v/>
      </c>
      <c r="J32" s="195" t="str">
        <f>IFERROR(VLOOKUP(A32,TableHandbook[],9,FALSE),"")</f>
        <v/>
      </c>
      <c r="K32" s="196" t="str">
        <f>IFERROR(VLOOKUP(A32,TableHandbook[],10,FALSE),"")</f>
        <v/>
      </c>
      <c r="L32" s="138"/>
      <c r="M32" s="197">
        <v>15</v>
      </c>
      <c r="N32" s="198"/>
      <c r="O32" s="198"/>
    </row>
    <row r="33" spans="1:16" s="199" customFormat="1" ht="5.0999999999999996" customHeight="1" x14ac:dyDescent="0.15">
      <c r="A33" s="200"/>
      <c r="B33" s="201"/>
      <c r="C33" s="201"/>
      <c r="D33" s="202"/>
      <c r="E33" s="201"/>
      <c r="F33" s="203"/>
      <c r="G33" s="201"/>
      <c r="H33" s="204"/>
      <c r="I33" s="205"/>
      <c r="J33" s="205"/>
      <c r="K33" s="206"/>
      <c r="L33" s="139"/>
      <c r="M33" s="197"/>
      <c r="N33" s="198"/>
      <c r="O33" s="198"/>
      <c r="P33" s="198"/>
    </row>
    <row r="34" spans="1:16" s="212" customFormat="1" ht="20.100000000000001" customHeight="1" x14ac:dyDescent="0.15">
      <c r="A34" s="190" t="str">
        <f>IFERROR(IF(HLOOKUP($L$8,RangeUnitsets,M34,FALSE)=0,"",HLOOKUP($L$8,RangeUnitsets,M34,FALSE)),"")</f>
        <v/>
      </c>
      <c r="B34" s="207" t="str">
        <f>IFERROR(IF(VLOOKUP($A34,TableHandbook[],2,FALSE)=0,"",VLOOKUP($A34,TableHandbook[],2,FALSE)),"")</f>
        <v/>
      </c>
      <c r="C34" s="207" t="str">
        <f>IFERROR(IF(VLOOKUP($A34,TableHandbook[],3,FALSE)=0,"",VLOOKUP($A34,TableHandbook[],3,FALSE)),"")</f>
        <v/>
      </c>
      <c r="D34" s="213" t="str">
        <f>IFERROR(IF(VLOOKUP($A34,TableHandbook[],4,FALSE)=0,"",VLOOKUP($A34,TableHandbook[],4,FALSE)),"")</f>
        <v/>
      </c>
      <c r="E34" s="207" t="str">
        <f>IF(A34="","",VLOOKUP($D$9,TableStudyPeriod[],5,FALSE))</f>
        <v/>
      </c>
      <c r="F34" s="193" t="str">
        <f>IFERROR(IF(VLOOKUP($A34,TableHandbook[],6,FALSE)=0,"",VLOOKUP($A34,TableHandbook[],6,FALSE)),"")</f>
        <v/>
      </c>
      <c r="G34" s="191" t="str">
        <f>IFERROR(IF(VLOOKUP($A34,TableHandbook[],5,FALSE)=0,"",VLOOKUP($A34,TableHandbook[],5,FALSE)),"")</f>
        <v/>
      </c>
      <c r="H34" s="194" t="str">
        <f>IFERROR(VLOOKUP(A34,TableHandbook[],7,FALSE),"")</f>
        <v/>
      </c>
      <c r="I34" s="195" t="str">
        <f>IFERROR(VLOOKUP(A34,TableHandbook[],8,FALSE),"")</f>
        <v/>
      </c>
      <c r="J34" s="195" t="str">
        <f>IFERROR(VLOOKUP(A34,TableHandbook[],9,FALSE),"")</f>
        <v/>
      </c>
      <c r="K34" s="196" t="str">
        <f>IFERROR(VLOOKUP(A34,TableHandbook[],10,FALSE),"")</f>
        <v/>
      </c>
      <c r="L34" s="138"/>
      <c r="M34" s="197">
        <v>16</v>
      </c>
      <c r="N34" s="211"/>
      <c r="O34" s="211"/>
    </row>
    <row r="35" spans="1:16" s="212" customFormat="1" ht="20.100000000000001" customHeight="1" x14ac:dyDescent="0.15">
      <c r="A35" s="190" t="str">
        <f>IFERROR(IF(HLOOKUP($L$8,RangeUnitsets,M35,FALSE)=0,"",HLOOKUP($L$8,RangeUnitsets,M35,FALSE)),"")</f>
        <v/>
      </c>
      <c r="B35" s="207" t="str">
        <f>IFERROR(IF(VLOOKUP($A35,TableHandbook[],2,FALSE)=0,"",VLOOKUP($A35,TableHandbook[],2,FALSE)),"")</f>
        <v/>
      </c>
      <c r="C35" s="207" t="str">
        <f>IFERROR(IF(VLOOKUP($A35,TableHandbook[],3,FALSE)=0,"",VLOOKUP($A35,TableHandbook[],3,FALSE)),"")</f>
        <v/>
      </c>
      <c r="D35" s="213" t="str">
        <f>IFERROR(IF(VLOOKUP($A35,TableHandbook[],4,FALSE)=0,"",VLOOKUP($A35,TableHandbook[],4,FALSE)),"")</f>
        <v/>
      </c>
      <c r="E35" s="191" t="str">
        <f>IF(OR(A35="",A35="-"),"",E34)</f>
        <v/>
      </c>
      <c r="F35" s="193" t="str">
        <f>IFERROR(IF(VLOOKUP($A35,TableHandbook[],6,FALSE)=0,"",VLOOKUP($A35,TableHandbook[],6,FALSE)),"")</f>
        <v/>
      </c>
      <c r="G35" s="191" t="str">
        <f>IFERROR(IF(VLOOKUP($A35,TableHandbook[],5,FALSE)=0,"",VLOOKUP($A35,TableHandbook[],5,FALSE)),"")</f>
        <v/>
      </c>
      <c r="H35" s="194" t="str">
        <f>IFERROR(VLOOKUP(A35,TableHandbook[],7,FALSE),"")</f>
        <v/>
      </c>
      <c r="I35" s="195" t="str">
        <f>IFERROR(VLOOKUP(A35,TableHandbook[],8,FALSE),"")</f>
        <v/>
      </c>
      <c r="J35" s="195" t="str">
        <f>IFERROR(VLOOKUP(A35,TableHandbook[],9,FALSE),"")</f>
        <v/>
      </c>
      <c r="K35" s="196" t="str">
        <f>IFERROR(VLOOKUP(A35,TableHandbook[],10,FALSE),"")</f>
        <v/>
      </c>
      <c r="L35" s="138"/>
      <c r="M35" s="197">
        <v>17</v>
      </c>
      <c r="N35" s="211"/>
      <c r="O35" s="211"/>
    </row>
    <row r="36" spans="1:16" s="184" customFormat="1" ht="21" x14ac:dyDescent="0.25">
      <c r="A36" s="177" t="s">
        <v>35</v>
      </c>
      <c r="B36" s="177"/>
      <c r="C36" s="177" t="s">
        <v>25</v>
      </c>
      <c r="D36" s="178" t="s">
        <v>3</v>
      </c>
      <c r="E36" s="185" t="s">
        <v>26</v>
      </c>
      <c r="F36" s="186" t="s">
        <v>27</v>
      </c>
      <c r="G36" s="177" t="s">
        <v>28</v>
      </c>
      <c r="H36" s="187" t="str">
        <f>H$12</f>
        <v>SP1</v>
      </c>
      <c r="I36" s="188" t="str">
        <f t="shared" ref="I36:L36" si="1">I$12</f>
        <v>SP2</v>
      </c>
      <c r="J36" s="188" t="str">
        <f t="shared" si="1"/>
        <v>SP3</v>
      </c>
      <c r="K36" s="189" t="str">
        <f t="shared" si="1"/>
        <v>SP4</v>
      </c>
      <c r="L36" s="177" t="str">
        <f t="shared" si="1"/>
        <v>Notes / Progress</v>
      </c>
      <c r="M36" s="214"/>
      <c r="N36" s="183"/>
      <c r="O36" s="183"/>
    </row>
    <row r="37" spans="1:16" s="199" customFormat="1" ht="20.100000000000001" customHeight="1" x14ac:dyDescent="0.15">
      <c r="A37" s="190" t="str">
        <f t="shared" ref="A37:A47" si="2">IFERROR(IF(HLOOKUP($L$8,RangeUnitsets,M37,FALSE)=0,"",HLOOKUP($L$8,RangeUnitsets,M37,FALSE)),"")</f>
        <v/>
      </c>
      <c r="B37" s="207" t="str">
        <f>IFERROR(IF(VLOOKUP($A37,TableHandbook[],2,FALSE)=0,"",VLOOKUP($A37,TableHandbook[],2,FALSE)),"")</f>
        <v/>
      </c>
      <c r="C37" s="207" t="str">
        <f>IFERROR(IF(VLOOKUP($A37,TableHandbook[],3,FALSE)=0,"",VLOOKUP($A37,TableHandbook[],3,FALSE)),"")</f>
        <v/>
      </c>
      <c r="D37" s="215" t="str">
        <f>IFERROR(IF(VLOOKUP($A37,TableHandbook[],4,FALSE)=0,"",VLOOKUP($A37,TableHandbook[],4,FALSE)),"")</f>
        <v/>
      </c>
      <c r="E37" s="207" t="str">
        <f>IF(A37="","",VLOOKUP($D$9,TableStudyPeriod[],2,FALSE))</f>
        <v/>
      </c>
      <c r="F37" s="193" t="str">
        <f>IFERROR(IF(VLOOKUP($A37,TableHandbook[],6,FALSE)=0,"",VLOOKUP($A37,TableHandbook[],6,FALSE)),"")</f>
        <v/>
      </c>
      <c r="G37" s="191" t="str">
        <f>IFERROR(IF(VLOOKUP($A37,TableHandbook[],5,FALSE)=0,"",VLOOKUP($A37,TableHandbook[],5,FALSE)),"")</f>
        <v/>
      </c>
      <c r="H37" s="194" t="str">
        <f>IFERROR(VLOOKUP(A37,TableHandbook[],7,FALSE),"")</f>
        <v/>
      </c>
      <c r="I37" s="195" t="str">
        <f>IFERROR(VLOOKUP(A37,TableHandbook[],8,FALSE),"")</f>
        <v/>
      </c>
      <c r="J37" s="195" t="str">
        <f>IFERROR(VLOOKUP(A37,TableHandbook[],9,FALSE),"")</f>
        <v/>
      </c>
      <c r="K37" s="196" t="str">
        <f>IFERROR(VLOOKUP(A37,TableHandbook[],10,FALSE),"")</f>
        <v/>
      </c>
      <c r="L37" s="138"/>
      <c r="M37" s="197">
        <v>18</v>
      </c>
      <c r="N37" s="198"/>
      <c r="O37" s="198"/>
    </row>
    <row r="38" spans="1:16" s="199" customFormat="1" ht="20.100000000000001" customHeight="1" x14ac:dyDescent="0.15">
      <c r="A38" s="190" t="str">
        <f t="shared" si="2"/>
        <v/>
      </c>
      <c r="B38" s="207" t="str">
        <f>IFERROR(IF(VLOOKUP($A38,TableHandbook[],2,FALSE)=0,"",VLOOKUP($A38,TableHandbook[],2,FALSE)),"")</f>
        <v/>
      </c>
      <c r="C38" s="207" t="str">
        <f>IFERROR(IF(VLOOKUP($A38,TableHandbook[],3,FALSE)=0,"",VLOOKUP($A38,TableHandbook[],3,FALSE)),"")</f>
        <v/>
      </c>
      <c r="D38" s="213" t="str">
        <f>IFERROR(IF(VLOOKUP($A38,TableHandbook[],4,FALSE)=0,"",VLOOKUP($A38,TableHandbook[],4,FALSE)),"")</f>
        <v/>
      </c>
      <c r="E38" s="207" t="str">
        <f>IF(OR(A38="",A38="-"),"",E37)</f>
        <v/>
      </c>
      <c r="F38" s="193" t="str">
        <f>IFERROR(IF(VLOOKUP($A38,TableHandbook[],6,FALSE)=0,"",VLOOKUP($A38,TableHandbook[],6,FALSE)),"")</f>
        <v/>
      </c>
      <c r="G38" s="191" t="str">
        <f>IFERROR(IF(VLOOKUP($A38,TableHandbook[],5,FALSE)=0,"",VLOOKUP($A38,TableHandbook[],5,FALSE)),"")</f>
        <v/>
      </c>
      <c r="H38" s="194" t="str">
        <f>IFERROR(VLOOKUP(A38,TableHandbook[],7,FALSE),"")</f>
        <v/>
      </c>
      <c r="I38" s="195" t="str">
        <f>IFERROR(VLOOKUP(A38,TableHandbook[],8,FALSE),"")</f>
        <v/>
      </c>
      <c r="J38" s="195" t="str">
        <f>IFERROR(VLOOKUP(A38,TableHandbook[],9,FALSE),"")</f>
        <v/>
      </c>
      <c r="K38" s="196" t="str">
        <f>IFERROR(VLOOKUP(A38,TableHandbook[],10,FALSE),"")</f>
        <v/>
      </c>
      <c r="L38" s="138"/>
      <c r="M38" s="197">
        <v>19</v>
      </c>
      <c r="N38" s="198"/>
      <c r="O38" s="198"/>
    </row>
    <row r="39" spans="1:16" s="199" customFormat="1" ht="5.0999999999999996" customHeight="1" x14ac:dyDescent="0.15">
      <c r="A39" s="200"/>
      <c r="B39" s="201"/>
      <c r="C39" s="201"/>
      <c r="D39" s="202"/>
      <c r="E39" s="201"/>
      <c r="F39" s="203"/>
      <c r="G39" s="201"/>
      <c r="H39" s="204"/>
      <c r="I39" s="205"/>
      <c r="J39" s="205"/>
      <c r="K39" s="206"/>
      <c r="L39" s="139"/>
      <c r="M39" s="197"/>
      <c r="N39" s="198"/>
      <c r="O39" s="198"/>
      <c r="P39" s="198"/>
    </row>
    <row r="40" spans="1:16" s="199" customFormat="1" ht="20.100000000000001" customHeight="1" x14ac:dyDescent="0.15">
      <c r="A40" s="190" t="str">
        <f t="shared" si="2"/>
        <v/>
      </c>
      <c r="B40" s="207" t="str">
        <f>IFERROR(IF(VLOOKUP($A40,TableHandbook[],2,FALSE)=0,"",VLOOKUP($A40,TableHandbook[],2,FALSE)),"")</f>
        <v/>
      </c>
      <c r="C40" s="207" t="str">
        <f>IFERROR(IF(VLOOKUP($A40,TableHandbook[],3,FALSE)=0,"",VLOOKUP($A40,TableHandbook[],3,FALSE)),"")</f>
        <v/>
      </c>
      <c r="D40" s="213" t="str">
        <f>IFERROR(IF(VLOOKUP($A40,TableHandbook[],4,FALSE)=0,"",VLOOKUP($A40,TableHandbook[],4,FALSE)),"")</f>
        <v/>
      </c>
      <c r="E40" s="207" t="str">
        <f>IF(A40="","",VLOOKUP($D$9,TableStudyPeriod[],3,FALSE))</f>
        <v/>
      </c>
      <c r="F40" s="193" t="str">
        <f>IFERROR(IF(VLOOKUP($A40,TableHandbook[],6,FALSE)=0,"",VLOOKUP($A40,TableHandbook[],6,FALSE)),"")</f>
        <v/>
      </c>
      <c r="G40" s="191" t="str">
        <f>IFERROR(IF(VLOOKUP($A40,TableHandbook[],5,FALSE)=0,"",VLOOKUP($A40,TableHandbook[],5,FALSE)),"")</f>
        <v/>
      </c>
      <c r="H40" s="194" t="str">
        <f>IFERROR(VLOOKUP(A40,TableHandbook[],7,FALSE),"")</f>
        <v/>
      </c>
      <c r="I40" s="195" t="str">
        <f>IFERROR(VLOOKUP(A40,TableHandbook[],8,FALSE),"")</f>
        <v/>
      </c>
      <c r="J40" s="195" t="str">
        <f>IFERROR(VLOOKUP(A40,TableHandbook[],9,FALSE),"")</f>
        <v/>
      </c>
      <c r="K40" s="196" t="str">
        <f>IFERROR(VLOOKUP(A40,TableHandbook[],10,FALSE),"")</f>
        <v/>
      </c>
      <c r="L40" s="138"/>
      <c r="M40" s="197">
        <v>20</v>
      </c>
      <c r="N40" s="198"/>
      <c r="O40" s="198"/>
    </row>
    <row r="41" spans="1:16" s="199" customFormat="1" ht="20.100000000000001" customHeight="1" x14ac:dyDescent="0.15">
      <c r="A41" s="190" t="str">
        <f t="shared" si="2"/>
        <v/>
      </c>
      <c r="B41" s="207" t="str">
        <f>IFERROR(IF(VLOOKUP($A41,TableHandbook[],2,FALSE)=0,"",VLOOKUP($A41,TableHandbook[],2,FALSE)),"")</f>
        <v/>
      </c>
      <c r="C41" s="207" t="str">
        <f>IFERROR(IF(VLOOKUP($A41,TableHandbook[],3,FALSE)=0,"",VLOOKUP($A41,TableHandbook[],3,FALSE)),"")</f>
        <v/>
      </c>
      <c r="D41" s="213" t="str">
        <f>IFERROR(IF(VLOOKUP($A41,TableHandbook[],4,FALSE)=0,"",VLOOKUP($A41,TableHandbook[],4,FALSE)),"")</f>
        <v/>
      </c>
      <c r="E41" s="207" t="str">
        <f>IF(OR(A41="",A41="-"),"",E40)</f>
        <v/>
      </c>
      <c r="F41" s="193" t="str">
        <f>IFERROR(IF(VLOOKUP($A41,TableHandbook[],6,FALSE)=0,"",VLOOKUP($A41,TableHandbook[],6,FALSE)),"")</f>
        <v/>
      </c>
      <c r="G41" s="191" t="str">
        <f>IFERROR(IF(VLOOKUP($A41,TableHandbook[],5,FALSE)=0,"",VLOOKUP($A41,TableHandbook[],5,FALSE)),"")</f>
        <v/>
      </c>
      <c r="H41" s="194" t="str">
        <f>IFERROR(VLOOKUP(A41,TableHandbook[],7,FALSE),"")</f>
        <v/>
      </c>
      <c r="I41" s="195" t="str">
        <f>IFERROR(VLOOKUP(A41,TableHandbook[],8,FALSE),"")</f>
        <v/>
      </c>
      <c r="J41" s="195" t="str">
        <f>IFERROR(VLOOKUP(A41,TableHandbook[],9,FALSE),"")</f>
        <v/>
      </c>
      <c r="K41" s="196" t="str">
        <f>IFERROR(VLOOKUP(A41,TableHandbook[],10,FALSE),"")</f>
        <v/>
      </c>
      <c r="L41" s="138"/>
      <c r="M41" s="197">
        <v>21</v>
      </c>
      <c r="N41" s="198"/>
      <c r="O41" s="198"/>
    </row>
    <row r="42" spans="1:16" s="199" customFormat="1" ht="5.0999999999999996" customHeight="1" x14ac:dyDescent="0.15">
      <c r="A42" s="200"/>
      <c r="B42" s="201"/>
      <c r="C42" s="201"/>
      <c r="D42" s="202"/>
      <c r="E42" s="201"/>
      <c r="F42" s="203"/>
      <c r="G42" s="201"/>
      <c r="H42" s="204"/>
      <c r="I42" s="205"/>
      <c r="J42" s="205"/>
      <c r="K42" s="206"/>
      <c r="L42" s="139"/>
      <c r="M42" s="197"/>
      <c r="N42" s="198"/>
      <c r="O42" s="198"/>
      <c r="P42" s="198"/>
    </row>
    <row r="43" spans="1:16" s="199" customFormat="1" ht="20.100000000000001" customHeight="1" x14ac:dyDescent="0.15">
      <c r="A43" s="190" t="str">
        <f t="shared" si="2"/>
        <v/>
      </c>
      <c r="B43" s="207" t="str">
        <f>IFERROR(IF(VLOOKUP($A43,TableHandbook[],2,FALSE)=0,"",VLOOKUP($A43,TableHandbook[],2,FALSE)),"")</f>
        <v/>
      </c>
      <c r="C43" s="207" t="str">
        <f>IFERROR(IF(VLOOKUP($A43,TableHandbook[],3,FALSE)=0,"",VLOOKUP($A43,TableHandbook[],3,FALSE)),"")</f>
        <v/>
      </c>
      <c r="D43" s="213" t="str">
        <f>IFERROR(IF(VLOOKUP($A43,TableHandbook[],4,FALSE)=0,"",VLOOKUP($A43,TableHandbook[],4,FALSE)),"")</f>
        <v/>
      </c>
      <c r="E43" s="207" t="str">
        <f>IF(A43="","",VLOOKUP($D$9,TableStudyPeriod[],4,FALSE))</f>
        <v/>
      </c>
      <c r="F43" s="193" t="str">
        <f>IFERROR(IF(VLOOKUP($A43,TableHandbook[],6,FALSE)=0,"",VLOOKUP($A43,TableHandbook[],6,FALSE)),"")</f>
        <v/>
      </c>
      <c r="G43" s="191" t="str">
        <f>IFERROR(IF(VLOOKUP($A43,TableHandbook[],5,FALSE)=0,"",VLOOKUP($A43,TableHandbook[],5,FALSE)),"")</f>
        <v/>
      </c>
      <c r="H43" s="194" t="str">
        <f>IFERROR(VLOOKUP(A43,TableHandbook[],7,FALSE),"")</f>
        <v/>
      </c>
      <c r="I43" s="195" t="str">
        <f>IFERROR(VLOOKUP(A43,TableHandbook[],8,FALSE),"")</f>
        <v/>
      </c>
      <c r="J43" s="195" t="str">
        <f>IFERROR(VLOOKUP(A43,TableHandbook[],9,FALSE),"")</f>
        <v/>
      </c>
      <c r="K43" s="196" t="str">
        <f>IFERROR(VLOOKUP(A43,TableHandbook[],10,FALSE),"")</f>
        <v/>
      </c>
      <c r="L43" s="138"/>
      <c r="M43" s="197">
        <v>22</v>
      </c>
      <c r="N43" s="198"/>
      <c r="O43" s="198"/>
    </row>
    <row r="44" spans="1:16" s="199" customFormat="1" ht="20.100000000000001" customHeight="1" x14ac:dyDescent="0.15">
      <c r="A44" s="190" t="str">
        <f t="shared" si="2"/>
        <v/>
      </c>
      <c r="B44" s="207" t="str">
        <f>IFERROR(IF(VLOOKUP($A44,TableHandbook[],2,FALSE)=0,"",VLOOKUP($A44,TableHandbook[],2,FALSE)),"")</f>
        <v/>
      </c>
      <c r="C44" s="207" t="str">
        <f>IFERROR(IF(VLOOKUP($A44,TableHandbook[],3,FALSE)=0,"",VLOOKUP($A44,TableHandbook[],3,FALSE)),"")</f>
        <v/>
      </c>
      <c r="D44" s="213" t="str">
        <f>IFERROR(IF(VLOOKUP($A44,TableHandbook[],4,FALSE)=0,"",VLOOKUP($A44,TableHandbook[],4,FALSE)),"")</f>
        <v/>
      </c>
      <c r="E44" s="207" t="str">
        <f>IF(OR(A44="",A44="-"),"",E43)</f>
        <v/>
      </c>
      <c r="F44" s="193" t="str">
        <f>IFERROR(IF(VLOOKUP($A44,TableHandbook[],6,FALSE)=0,"",VLOOKUP($A44,TableHandbook[],6,FALSE)),"")</f>
        <v/>
      </c>
      <c r="G44" s="191" t="str">
        <f>IFERROR(IF(VLOOKUP($A44,TableHandbook[],5,FALSE)=0,"",VLOOKUP($A44,TableHandbook[],5,FALSE)),"")</f>
        <v/>
      </c>
      <c r="H44" s="194" t="str">
        <f>IFERROR(VLOOKUP(A44,TableHandbook[],7,FALSE),"")</f>
        <v/>
      </c>
      <c r="I44" s="195" t="str">
        <f>IFERROR(VLOOKUP(A44,TableHandbook[],8,FALSE),"")</f>
        <v/>
      </c>
      <c r="J44" s="195" t="str">
        <f>IFERROR(VLOOKUP(A44,TableHandbook[],9,FALSE),"")</f>
        <v/>
      </c>
      <c r="K44" s="196" t="str">
        <f>IFERROR(VLOOKUP(A44,TableHandbook[],10,FALSE),"")</f>
        <v/>
      </c>
      <c r="L44" s="138"/>
      <c r="M44" s="197">
        <v>23</v>
      </c>
      <c r="N44" s="198"/>
      <c r="O44" s="198"/>
    </row>
    <row r="45" spans="1:16" s="199" customFormat="1" ht="5.0999999999999996" customHeight="1" x14ac:dyDescent="0.15">
      <c r="A45" s="200"/>
      <c r="B45" s="201"/>
      <c r="C45" s="201"/>
      <c r="D45" s="202"/>
      <c r="E45" s="201"/>
      <c r="F45" s="203"/>
      <c r="G45" s="201"/>
      <c r="H45" s="204"/>
      <c r="I45" s="205"/>
      <c r="J45" s="205"/>
      <c r="K45" s="206"/>
      <c r="L45" s="139"/>
      <c r="M45" s="197"/>
      <c r="N45" s="198"/>
      <c r="O45" s="198"/>
      <c r="P45" s="198"/>
    </row>
    <row r="46" spans="1:16" s="212" customFormat="1" ht="20.100000000000001" customHeight="1" x14ac:dyDescent="0.15">
      <c r="A46" s="190" t="str">
        <f t="shared" si="2"/>
        <v/>
      </c>
      <c r="B46" s="207" t="str">
        <f>IFERROR(IF(VLOOKUP($A46,TableHandbook[],2,FALSE)=0,"",VLOOKUP($A46,TableHandbook[],2,FALSE)),"")</f>
        <v/>
      </c>
      <c r="C46" s="207" t="str">
        <f>IFERROR(IF(VLOOKUP($A46,TableHandbook[],3,FALSE)=0,"",VLOOKUP($A46,TableHandbook[],3,FALSE)),"")</f>
        <v/>
      </c>
      <c r="D46" s="213" t="str">
        <f>IFERROR(IF(VLOOKUP($A46,TableHandbook[],4,FALSE)=0,"",VLOOKUP($A46,TableHandbook[],4,FALSE)),"")</f>
        <v/>
      </c>
      <c r="E46" s="207" t="str">
        <f>IF(A46="","",VLOOKUP($D$9,TableStudyPeriod[],5,FALSE))</f>
        <v/>
      </c>
      <c r="F46" s="193" t="str">
        <f>IFERROR(IF(VLOOKUP($A46,TableHandbook[],6,FALSE)=0,"",VLOOKUP($A46,TableHandbook[],6,FALSE)),"")</f>
        <v/>
      </c>
      <c r="G46" s="191" t="str">
        <f>IFERROR(IF(VLOOKUP($A46,TableHandbook[],5,FALSE)=0,"",VLOOKUP($A46,TableHandbook[],5,FALSE)),"")</f>
        <v/>
      </c>
      <c r="H46" s="194" t="str">
        <f>IFERROR(VLOOKUP(A46,TableHandbook[],7,FALSE),"")</f>
        <v/>
      </c>
      <c r="I46" s="195" t="str">
        <f>IFERROR(VLOOKUP(A46,TableHandbook[],8,FALSE),"")</f>
        <v/>
      </c>
      <c r="J46" s="195" t="str">
        <f>IFERROR(VLOOKUP(A46,TableHandbook[],9,FALSE),"")</f>
        <v/>
      </c>
      <c r="K46" s="196" t="str">
        <f>IFERROR(VLOOKUP(A46,TableHandbook[],10,FALSE),"")</f>
        <v/>
      </c>
      <c r="L46" s="138"/>
      <c r="M46" s="197">
        <v>24</v>
      </c>
      <c r="N46" s="211"/>
      <c r="O46" s="211"/>
    </row>
    <row r="47" spans="1:16" s="212" customFormat="1" ht="20.100000000000001" customHeight="1" x14ac:dyDescent="0.15">
      <c r="A47" s="190" t="str">
        <f t="shared" si="2"/>
        <v/>
      </c>
      <c r="B47" s="207" t="str">
        <f>IFERROR(IF(VLOOKUP($A47,TableHandbook[],2,FALSE)=0,"",VLOOKUP($A47,TableHandbook[],2,FALSE)),"")</f>
        <v/>
      </c>
      <c r="C47" s="207" t="str">
        <f>IFERROR(IF(VLOOKUP($A47,TableHandbook[],3,FALSE)=0,"",VLOOKUP($A47,TableHandbook[],3,FALSE)),"")</f>
        <v/>
      </c>
      <c r="D47" s="213" t="str">
        <f>IFERROR(IF(VLOOKUP($A47,TableHandbook[],4,FALSE)=0,"",VLOOKUP($A47,TableHandbook[],4,FALSE)),"")</f>
        <v/>
      </c>
      <c r="E47" s="191" t="str">
        <f>IF(OR(A47="",A47="-"),"",E46)</f>
        <v/>
      </c>
      <c r="F47" s="193" t="str">
        <f>IFERROR(IF(VLOOKUP($A47,TableHandbook[],6,FALSE)=0,"",VLOOKUP($A47,TableHandbook[],6,FALSE)),"")</f>
        <v/>
      </c>
      <c r="G47" s="191" t="str">
        <f>IFERROR(IF(VLOOKUP($A47,TableHandbook[],5,FALSE)=0,"",VLOOKUP($A47,TableHandbook[],5,FALSE)),"")</f>
        <v/>
      </c>
      <c r="H47" s="194" t="str">
        <f>IFERROR(VLOOKUP(A47,TableHandbook[],7,FALSE),"")</f>
        <v/>
      </c>
      <c r="I47" s="195" t="str">
        <f>IFERROR(VLOOKUP(A47,TableHandbook[],8,FALSE),"")</f>
        <v/>
      </c>
      <c r="J47" s="195" t="str">
        <f>IFERROR(VLOOKUP(A47,TableHandbook[],9,FALSE),"")</f>
        <v/>
      </c>
      <c r="K47" s="196" t="str">
        <f>IFERROR(VLOOKUP(A47,TableHandbook[],10,FALSE),"")</f>
        <v/>
      </c>
      <c r="L47" s="138"/>
      <c r="M47" s="197">
        <v>25</v>
      </c>
      <c r="N47" s="211"/>
      <c r="O47" s="211"/>
    </row>
    <row r="48" spans="1:16" s="212" customFormat="1" ht="21" customHeight="1" x14ac:dyDescent="0.15">
      <c r="A48" s="177" t="s">
        <v>36</v>
      </c>
      <c r="B48" s="177"/>
      <c r="C48" s="177" t="s">
        <v>25</v>
      </c>
      <c r="D48" s="178" t="s">
        <v>3</v>
      </c>
      <c r="E48" s="185" t="s">
        <v>26</v>
      </c>
      <c r="F48" s="186" t="s">
        <v>27</v>
      </c>
      <c r="G48" s="177" t="s">
        <v>28</v>
      </c>
      <c r="H48" s="187" t="str">
        <f>H$12</f>
        <v>SP1</v>
      </c>
      <c r="I48" s="188" t="str">
        <f t="shared" ref="I48:L48" si="3">I$12</f>
        <v>SP2</v>
      </c>
      <c r="J48" s="188" t="str">
        <f t="shared" si="3"/>
        <v>SP3</v>
      </c>
      <c r="K48" s="189" t="str">
        <f t="shared" si="3"/>
        <v>SP4</v>
      </c>
      <c r="L48" s="177" t="str">
        <f t="shared" si="3"/>
        <v>Notes / Progress</v>
      </c>
      <c r="M48" s="214"/>
      <c r="N48" s="211"/>
      <c r="O48" s="211"/>
    </row>
    <row r="49" spans="1:16" s="212" customFormat="1" ht="20.100000000000001" customHeight="1" x14ac:dyDescent="0.15">
      <c r="A49" s="190" t="str">
        <f t="shared" ref="A49:A59" si="4">IFERROR(IF(HLOOKUP($L$7,RangeUnitSetsY4,M49,FALSE)=0,"",HLOOKUP($L$7,RangeUnitSetsY4,M49,FALSE)),"")</f>
        <v/>
      </c>
      <c r="B49" s="207"/>
      <c r="C49" s="207" t="str">
        <f>IFERROR(IF(VLOOKUP($A49,TableHandbook[],3,FALSE)=0,"",VLOOKUP($A49,TableHandbook[],3,FALSE)),"")</f>
        <v/>
      </c>
      <c r="D49" s="215" t="str">
        <f>IFERROR(IF(VLOOKUP($A49,TableHandbook[],4,FALSE)=0,"",VLOOKUP($A49,TableHandbook[],4,FALSE)),"")</f>
        <v/>
      </c>
      <c r="E49" s="207" t="str">
        <f>IF(A49="","",VLOOKUP($D$9,TableStudyPeriod[],2,FALSE))</f>
        <v/>
      </c>
      <c r="F49" s="193" t="str">
        <f>IFERROR(IF(VLOOKUP($A49,TableHandbook[],6,FALSE)=0,"",VLOOKUP($A49,TableHandbook[],6,FALSE)),"")</f>
        <v/>
      </c>
      <c r="G49" s="191" t="str">
        <f>IFERROR(IF(VLOOKUP($A49,TableHandbook[],5,FALSE)=0,"",VLOOKUP($A49,TableHandbook[],5,FALSE)),"")</f>
        <v/>
      </c>
      <c r="H49" s="194" t="str">
        <f>IFERROR(VLOOKUP(A49,TableHandbook[],7,FALSE),"")</f>
        <v/>
      </c>
      <c r="I49" s="195" t="str">
        <f>IFERROR(VLOOKUP(A49,TableHandbook[],8,FALSE),"")</f>
        <v/>
      </c>
      <c r="J49" s="195" t="str">
        <f>IFERROR(VLOOKUP(A49,TableHandbook[],9,FALSE),"")</f>
        <v/>
      </c>
      <c r="K49" s="196" t="str">
        <f>IFERROR(VLOOKUP(A49,TableHandbook[],10,FALSE),"")</f>
        <v/>
      </c>
      <c r="L49" s="138"/>
      <c r="M49" s="197">
        <v>2</v>
      </c>
      <c r="N49" s="211"/>
      <c r="O49" s="211"/>
    </row>
    <row r="50" spans="1:16" s="212" customFormat="1" ht="20.100000000000001" customHeight="1" x14ac:dyDescent="0.15">
      <c r="A50" s="190" t="str">
        <f t="shared" si="4"/>
        <v/>
      </c>
      <c r="B50" s="207"/>
      <c r="C50" s="207" t="str">
        <f>IFERROR(IF(VLOOKUP($A50,TableHandbook[],3,FALSE)=0,"",VLOOKUP($A50,TableHandbook[],3,FALSE)),"")</f>
        <v/>
      </c>
      <c r="D50" s="213" t="str">
        <f>IFERROR(IF(VLOOKUP($A50,TableHandbook[],4,FALSE)=0,"",VLOOKUP($A50,TableHandbook[],4,FALSE)),"")</f>
        <v/>
      </c>
      <c r="E50" s="207" t="str">
        <f>IF(OR(A50="",A50="-"),"",E49)</f>
        <v/>
      </c>
      <c r="F50" s="193" t="str">
        <f>IFERROR(IF(VLOOKUP($A50,TableHandbook[],6,FALSE)=0,"",VLOOKUP($A50,TableHandbook[],6,FALSE)),"")</f>
        <v/>
      </c>
      <c r="G50" s="191" t="str">
        <f>IFERROR(IF(VLOOKUP($A50,TableHandbook[],5,FALSE)=0,"",VLOOKUP($A50,TableHandbook[],5,FALSE)),"")</f>
        <v/>
      </c>
      <c r="H50" s="194" t="str">
        <f>IFERROR(VLOOKUP(A50,TableHandbook[],7,FALSE),"")</f>
        <v/>
      </c>
      <c r="I50" s="195" t="str">
        <f>IFERROR(VLOOKUP(A50,TableHandbook[],8,FALSE),"")</f>
        <v/>
      </c>
      <c r="J50" s="195" t="str">
        <f>IFERROR(VLOOKUP(A50,TableHandbook[],9,FALSE),"")</f>
        <v/>
      </c>
      <c r="K50" s="196" t="str">
        <f>IFERROR(VLOOKUP(A50,TableHandbook[],10,FALSE),"")</f>
        <v/>
      </c>
      <c r="L50" s="138"/>
      <c r="M50" s="197">
        <v>3</v>
      </c>
      <c r="N50" s="211"/>
      <c r="O50" s="211"/>
    </row>
    <row r="51" spans="1:16" s="199" customFormat="1" ht="5.0999999999999996" customHeight="1" x14ac:dyDescent="0.15">
      <c r="A51" s="200"/>
      <c r="B51" s="201"/>
      <c r="C51" s="201"/>
      <c r="D51" s="202"/>
      <c r="E51" s="201"/>
      <c r="F51" s="203"/>
      <c r="G51" s="201"/>
      <c r="H51" s="204"/>
      <c r="I51" s="205"/>
      <c r="J51" s="205"/>
      <c r="K51" s="206"/>
      <c r="L51" s="139"/>
      <c r="M51" s="197"/>
      <c r="N51" s="198"/>
      <c r="O51" s="198"/>
      <c r="P51" s="198"/>
    </row>
    <row r="52" spans="1:16" s="212" customFormat="1" ht="20.100000000000001" customHeight="1" x14ac:dyDescent="0.15">
      <c r="A52" s="190" t="str">
        <f t="shared" si="4"/>
        <v/>
      </c>
      <c r="B52" s="207"/>
      <c r="C52" s="207" t="str">
        <f>IFERROR(IF(VLOOKUP($A52,TableHandbook[],3,FALSE)=0,"",VLOOKUP($A52,TableHandbook[],3,FALSE)),"")</f>
        <v/>
      </c>
      <c r="D52" s="213" t="str">
        <f>IFERROR(IF(VLOOKUP($A52,TableHandbook[],4,FALSE)=0,"",VLOOKUP($A52,TableHandbook[],4,FALSE)),"")</f>
        <v/>
      </c>
      <c r="E52" s="207" t="str">
        <f>IF(A52="","",VLOOKUP($D$9,TableStudyPeriod[],3,FALSE))</f>
        <v/>
      </c>
      <c r="F52" s="193" t="str">
        <f>IFERROR(IF(VLOOKUP($A52,TableHandbook[],6,FALSE)=0,"",VLOOKUP($A52,TableHandbook[],6,FALSE)),"")</f>
        <v/>
      </c>
      <c r="G52" s="191" t="str">
        <f>IFERROR(IF(VLOOKUP($A52,TableHandbook[],5,FALSE)=0,"",VLOOKUP($A52,TableHandbook[],5,FALSE)),"")</f>
        <v/>
      </c>
      <c r="H52" s="194" t="str">
        <f>IFERROR(VLOOKUP(A52,TableHandbook[],7,FALSE),"")</f>
        <v/>
      </c>
      <c r="I52" s="195" t="str">
        <f>IFERROR(VLOOKUP(A52,TableHandbook[],8,FALSE),"")</f>
        <v/>
      </c>
      <c r="J52" s="195" t="str">
        <f>IFERROR(VLOOKUP(A52,TableHandbook[],9,FALSE),"")</f>
        <v/>
      </c>
      <c r="K52" s="196" t="str">
        <f>IFERROR(VLOOKUP(A52,TableHandbook[],10,FALSE),"")</f>
        <v/>
      </c>
      <c r="L52" s="138"/>
      <c r="M52" s="197">
        <v>4</v>
      </c>
      <c r="N52" s="211"/>
      <c r="O52" s="211"/>
    </row>
    <row r="53" spans="1:16" s="212" customFormat="1" ht="20.100000000000001" customHeight="1" x14ac:dyDescent="0.15">
      <c r="A53" s="190" t="str">
        <f t="shared" si="4"/>
        <v/>
      </c>
      <c r="B53" s="207"/>
      <c r="C53" s="207" t="str">
        <f>IFERROR(IF(VLOOKUP($A53,TableHandbook[],3,FALSE)=0,"",VLOOKUP($A53,TableHandbook[],3,FALSE)),"")</f>
        <v/>
      </c>
      <c r="D53" s="213" t="str">
        <f>IFERROR(IF(VLOOKUP($A53,TableHandbook[],4,FALSE)=0,"",VLOOKUP($A53,TableHandbook[],4,FALSE)),"")</f>
        <v/>
      </c>
      <c r="E53" s="207" t="str">
        <f>IF(OR(A53="",A53="-"),"",E52)</f>
        <v/>
      </c>
      <c r="F53" s="193" t="str">
        <f>IFERROR(IF(VLOOKUP($A53,TableHandbook[],6,FALSE)=0,"",VLOOKUP($A53,TableHandbook[],6,FALSE)),"")</f>
        <v/>
      </c>
      <c r="G53" s="191" t="str">
        <f>IFERROR(IF(VLOOKUP($A53,TableHandbook[],5,FALSE)=0,"",VLOOKUP($A53,TableHandbook[],5,FALSE)),"")</f>
        <v/>
      </c>
      <c r="H53" s="194" t="str">
        <f>IFERROR(VLOOKUP(A53,TableHandbook[],7,FALSE),"")</f>
        <v/>
      </c>
      <c r="I53" s="195" t="str">
        <f>IFERROR(VLOOKUP(A53,TableHandbook[],8,FALSE),"")</f>
        <v/>
      </c>
      <c r="J53" s="195" t="str">
        <f>IFERROR(VLOOKUP(A53,TableHandbook[],9,FALSE),"")</f>
        <v/>
      </c>
      <c r="K53" s="196" t="str">
        <f>IFERROR(VLOOKUP(A53,TableHandbook[],10,FALSE),"")</f>
        <v/>
      </c>
      <c r="L53" s="138"/>
      <c r="M53" s="197">
        <v>5</v>
      </c>
      <c r="N53" s="211"/>
      <c r="O53" s="211"/>
    </row>
    <row r="54" spans="1:16" s="199" customFormat="1" ht="5.0999999999999996" customHeight="1" x14ac:dyDescent="0.15">
      <c r="A54" s="200"/>
      <c r="B54" s="201"/>
      <c r="C54" s="201"/>
      <c r="D54" s="202"/>
      <c r="E54" s="201"/>
      <c r="F54" s="203"/>
      <c r="G54" s="201"/>
      <c r="H54" s="204"/>
      <c r="I54" s="205"/>
      <c r="J54" s="205"/>
      <c r="K54" s="206"/>
      <c r="L54" s="139"/>
      <c r="M54" s="197"/>
      <c r="N54" s="198"/>
      <c r="O54" s="198"/>
      <c r="P54" s="198"/>
    </row>
    <row r="55" spans="1:16" s="212" customFormat="1" ht="20.100000000000001" customHeight="1" x14ac:dyDescent="0.15">
      <c r="A55" s="190" t="str">
        <f t="shared" si="4"/>
        <v/>
      </c>
      <c r="B55" s="207"/>
      <c r="C55" s="207" t="str">
        <f>IFERROR(IF(VLOOKUP($A55,TableHandbook[],3,FALSE)=0,"",VLOOKUP($A55,TableHandbook[],3,FALSE)),"")</f>
        <v/>
      </c>
      <c r="D55" s="213" t="str">
        <f>IFERROR(IF(VLOOKUP($A55,TableHandbook[],4,FALSE)=0,"",VLOOKUP($A55,TableHandbook[],4,FALSE)),"")</f>
        <v/>
      </c>
      <c r="E55" s="207" t="str">
        <f>IF(A55="","",VLOOKUP($D$9,TableStudyPeriod[],4,FALSE))</f>
        <v/>
      </c>
      <c r="F55" s="193" t="str">
        <f>IFERROR(IF(VLOOKUP($A55,TableHandbook[],6,FALSE)=0,"",VLOOKUP($A55,TableHandbook[],6,FALSE)),"")</f>
        <v/>
      </c>
      <c r="G55" s="191" t="str">
        <f>IFERROR(IF(VLOOKUP($A55,TableHandbook[],5,FALSE)=0,"",VLOOKUP($A55,TableHandbook[],5,FALSE)),"")</f>
        <v/>
      </c>
      <c r="H55" s="194" t="str">
        <f>IFERROR(VLOOKUP(A55,TableHandbook[],7,FALSE),"")</f>
        <v/>
      </c>
      <c r="I55" s="195" t="str">
        <f>IFERROR(VLOOKUP(A55,TableHandbook[],8,FALSE),"")</f>
        <v/>
      </c>
      <c r="J55" s="195" t="str">
        <f>IFERROR(VLOOKUP(A55,TableHandbook[],9,FALSE),"")</f>
        <v/>
      </c>
      <c r="K55" s="196" t="str">
        <f>IFERROR(VLOOKUP(A55,TableHandbook[],10,FALSE),"")</f>
        <v/>
      </c>
      <c r="L55" s="138"/>
      <c r="M55" s="197">
        <v>6</v>
      </c>
      <c r="N55" s="211"/>
      <c r="O55" s="211"/>
    </row>
    <row r="56" spans="1:16" s="212" customFormat="1" ht="20.100000000000001" customHeight="1" x14ac:dyDescent="0.15">
      <c r="A56" s="190" t="str">
        <f t="shared" si="4"/>
        <v/>
      </c>
      <c r="B56" s="207"/>
      <c r="C56" s="207" t="str">
        <f>IFERROR(IF(VLOOKUP($A56,TableHandbook[],3,FALSE)=0,"",VLOOKUP($A56,TableHandbook[],3,FALSE)),"")</f>
        <v/>
      </c>
      <c r="D56" s="213" t="str">
        <f>IFERROR(IF(VLOOKUP($A56,TableHandbook[],4,FALSE)=0,"",VLOOKUP($A56,TableHandbook[],4,FALSE)),"")</f>
        <v/>
      </c>
      <c r="E56" s="207" t="str">
        <f>IF(OR(A56="",A56="-"),"",E55)</f>
        <v/>
      </c>
      <c r="F56" s="193" t="str">
        <f>IFERROR(IF(VLOOKUP($A56,TableHandbook[],6,FALSE)=0,"",VLOOKUP($A56,TableHandbook[],6,FALSE)),"")</f>
        <v/>
      </c>
      <c r="G56" s="191" t="str">
        <f>IFERROR(IF(VLOOKUP($A56,TableHandbook[],5,FALSE)=0,"",VLOOKUP($A56,TableHandbook[],5,FALSE)),"")</f>
        <v/>
      </c>
      <c r="H56" s="194" t="str">
        <f>IFERROR(VLOOKUP(A56,TableHandbook[],7,FALSE),"")</f>
        <v/>
      </c>
      <c r="I56" s="195" t="str">
        <f>IFERROR(VLOOKUP(A56,TableHandbook[],8,FALSE),"")</f>
        <v/>
      </c>
      <c r="J56" s="195" t="str">
        <f>IFERROR(VLOOKUP(A56,TableHandbook[],9,FALSE),"")</f>
        <v/>
      </c>
      <c r="K56" s="196" t="str">
        <f>IFERROR(VLOOKUP(A56,TableHandbook[],10,FALSE),"")</f>
        <v/>
      </c>
      <c r="L56" s="138"/>
      <c r="M56" s="197">
        <v>7</v>
      </c>
      <c r="N56" s="211"/>
      <c r="O56" s="211"/>
    </row>
    <row r="57" spans="1:16" s="199" customFormat="1" ht="5.0999999999999996" customHeight="1" x14ac:dyDescent="0.15">
      <c r="A57" s="200"/>
      <c r="B57" s="201"/>
      <c r="C57" s="201"/>
      <c r="D57" s="202"/>
      <c r="E57" s="201"/>
      <c r="F57" s="203"/>
      <c r="G57" s="201"/>
      <c r="H57" s="204"/>
      <c r="I57" s="205"/>
      <c r="J57" s="205"/>
      <c r="K57" s="206"/>
      <c r="L57" s="139"/>
      <c r="M57" s="197"/>
      <c r="N57" s="198"/>
      <c r="O57" s="198"/>
      <c r="P57" s="198"/>
    </row>
    <row r="58" spans="1:16" s="212" customFormat="1" ht="20.100000000000001" customHeight="1" x14ac:dyDescent="0.15">
      <c r="A58" s="190" t="str">
        <f t="shared" si="4"/>
        <v/>
      </c>
      <c r="B58" s="207"/>
      <c r="C58" s="207" t="str">
        <f>IFERROR(IF(VLOOKUP($A58,TableHandbook[],3,FALSE)=0,"",VLOOKUP($A58,TableHandbook[],3,FALSE)),"")</f>
        <v/>
      </c>
      <c r="D58" s="213" t="str">
        <f>IFERROR(IF(VLOOKUP($A58,TableHandbook[],4,FALSE)=0,"",VLOOKUP($A58,TableHandbook[],4,FALSE)),"")</f>
        <v/>
      </c>
      <c r="E58" s="207" t="str">
        <f>IF(A58="","",VLOOKUP($D$9,TableStudyPeriod[],5,FALSE))</f>
        <v/>
      </c>
      <c r="F58" s="193" t="str">
        <f>IFERROR(IF(VLOOKUP($A58,TableHandbook[],6,FALSE)=0,"",VLOOKUP($A58,TableHandbook[],6,FALSE)),"")</f>
        <v/>
      </c>
      <c r="G58" s="191" t="str">
        <f>IFERROR(IF(VLOOKUP($A58,TableHandbook[],5,FALSE)=0,"",VLOOKUP($A58,TableHandbook[],5,FALSE)),"")</f>
        <v/>
      </c>
      <c r="H58" s="194" t="str">
        <f>IFERROR(VLOOKUP(A58,TableHandbook[],7,FALSE),"")</f>
        <v/>
      </c>
      <c r="I58" s="195" t="str">
        <f>IFERROR(VLOOKUP(A58,TableHandbook[],8,FALSE),"")</f>
        <v/>
      </c>
      <c r="J58" s="195" t="str">
        <f>IFERROR(VLOOKUP(A58,TableHandbook[],9,FALSE),"")</f>
        <v/>
      </c>
      <c r="K58" s="196" t="str">
        <f>IFERROR(VLOOKUP(A58,TableHandbook[],10,FALSE),"")</f>
        <v/>
      </c>
      <c r="L58" s="138"/>
      <c r="M58" s="197">
        <v>8</v>
      </c>
      <c r="N58" s="211"/>
      <c r="O58" s="211"/>
    </row>
    <row r="59" spans="1:16" s="212" customFormat="1" ht="20.100000000000001" customHeight="1" x14ac:dyDescent="0.15">
      <c r="A59" s="190" t="str">
        <f t="shared" si="4"/>
        <v/>
      </c>
      <c r="B59" s="207"/>
      <c r="C59" s="207" t="str">
        <f>IFERROR(IF(VLOOKUP($A59,TableHandbook[],3,FALSE)=0,"",VLOOKUP($A59,TableHandbook[],3,FALSE)),"")</f>
        <v/>
      </c>
      <c r="D59" s="213" t="str">
        <f>IFERROR(IF(VLOOKUP($A59,TableHandbook[],4,FALSE)=0,"",VLOOKUP($A59,TableHandbook[],4,FALSE)),"")</f>
        <v/>
      </c>
      <c r="E59" s="191" t="str">
        <f>IF(OR(A59="",A59="-"),"",E58)</f>
        <v/>
      </c>
      <c r="F59" s="193" t="str">
        <f>IFERROR(IF(VLOOKUP($A59,TableHandbook[],6,FALSE)=0,"",VLOOKUP($A59,TableHandbook[],6,FALSE)),"")</f>
        <v/>
      </c>
      <c r="G59" s="191" t="str">
        <f>IFERROR(IF(VLOOKUP($A59,TableHandbook[],5,FALSE)=0,"",VLOOKUP($A59,TableHandbook[],5,FALSE)),"")</f>
        <v/>
      </c>
      <c r="H59" s="194" t="str">
        <f>IFERROR(VLOOKUP(A59,TableHandbook[],7,FALSE),"")</f>
        <v/>
      </c>
      <c r="I59" s="195" t="str">
        <f>IFERROR(VLOOKUP(A59,TableHandbook[],8,FALSE),"")</f>
        <v/>
      </c>
      <c r="J59" s="195" t="str">
        <f>IFERROR(VLOOKUP(A59,TableHandbook[],9,FALSE),"")</f>
        <v/>
      </c>
      <c r="K59" s="196" t="str">
        <f>IFERROR(VLOOKUP(A59,TableHandbook[],10,FALSE),"")</f>
        <v/>
      </c>
      <c r="L59" s="138"/>
      <c r="M59" s="197">
        <v>9</v>
      </c>
      <c r="N59" s="211"/>
      <c r="O59" s="211"/>
    </row>
    <row r="60" spans="1:16" s="223" customFormat="1" ht="13.9" customHeight="1" x14ac:dyDescent="0.2">
      <c r="A60" s="216"/>
      <c r="B60" s="216"/>
      <c r="C60" s="216"/>
      <c r="D60" s="217"/>
      <c r="E60" s="218"/>
      <c r="F60" s="219"/>
      <c r="G60" s="220"/>
      <c r="H60" s="220"/>
      <c r="I60" s="220"/>
      <c r="J60" s="220"/>
      <c r="K60" s="220"/>
      <c r="L60" s="220"/>
      <c r="M60" s="221"/>
      <c r="N60" s="222"/>
      <c r="O60" s="222"/>
    </row>
    <row r="61" spans="1:16" ht="17.25" x14ac:dyDescent="0.25">
      <c r="A61" s="224" t="str">
        <f>D8</f>
        <v>Choose your Specialisation (drop-down list)</v>
      </c>
      <c r="B61" s="225"/>
      <c r="C61" s="225"/>
      <c r="D61" s="226"/>
      <c r="E61" s="227"/>
      <c r="F61" s="228"/>
      <c r="G61" s="229"/>
      <c r="H61" s="230" t="str">
        <f>H11</f>
        <v>2025 Availabilities</v>
      </c>
      <c r="I61" s="231"/>
      <c r="J61" s="232"/>
      <c r="K61" s="233"/>
      <c r="L61" s="234" t="e">
        <f>VLOOKUP(D8,TableSpecialisations[],2,FALSE)</f>
        <v>#N/A</v>
      </c>
      <c r="M61" s="235"/>
    </row>
    <row r="62" spans="1:16" s="240" customFormat="1" x14ac:dyDescent="0.25">
      <c r="A62" s="236"/>
      <c r="B62" s="237"/>
      <c r="C62" s="177" t="s">
        <v>25</v>
      </c>
      <c r="D62" s="178" t="s">
        <v>3</v>
      </c>
      <c r="E62" s="238"/>
      <c r="F62" s="186" t="s">
        <v>27</v>
      </c>
      <c r="G62" s="238" t="s">
        <v>28</v>
      </c>
      <c r="H62" s="187" t="str">
        <f>H$12</f>
        <v>SP1</v>
      </c>
      <c r="I62" s="188" t="str">
        <f t="shared" ref="I62:L62" si="5">I$12</f>
        <v>SP2</v>
      </c>
      <c r="J62" s="188" t="str">
        <f t="shared" si="5"/>
        <v>SP3</v>
      </c>
      <c r="K62" s="239" t="str">
        <f t="shared" si="5"/>
        <v>SP4</v>
      </c>
      <c r="L62" s="177" t="str">
        <f t="shared" si="5"/>
        <v>Notes / Progress</v>
      </c>
      <c r="M62" s="235"/>
    </row>
    <row r="63" spans="1:16" x14ac:dyDescent="0.25">
      <c r="A63" s="241" t="str">
        <f t="shared" ref="A63:A71" si="6">IFERROR(IF(HLOOKUP($L$61,RangeSpecSets,M63,FALSE)=0,"",HLOOKUP($L$61,RangeSpecSets,M63,FALSE)),"")</f>
        <v/>
      </c>
      <c r="B63" s="242" t="str">
        <f>IFERROR(IF(VLOOKUP($A63,TableHandbook[],2,FALSE)=0,"",VLOOKUP($A63,TableHandbook[],2,FALSE)),"")</f>
        <v/>
      </c>
      <c r="C63" s="242" t="str">
        <f>IFERROR(IF(VLOOKUP($A63,TableHandbook[],3,FALSE)=0,"",VLOOKUP($A63,TableHandbook[],3,FALSE)),"")</f>
        <v/>
      </c>
      <c r="D63" s="243" t="str">
        <f>IFERROR(IF(VLOOKUP($A63,TableHandbook[],4,FALSE)=0,"",VLOOKUP($A63,TableHandbook[],4,FALSE)),"")</f>
        <v/>
      </c>
      <c r="E63" s="244"/>
      <c r="F63" s="193" t="str">
        <f>IFERROR(IF(VLOOKUP($A63,TableHandbook[],6,FALSE)=0,"",VLOOKUP($A63,TableHandbook[],6,FALSE)),"")</f>
        <v/>
      </c>
      <c r="G63" s="244" t="str">
        <f>IFERROR(IF(VLOOKUP($A63,TableHandbook[],5,FALSE)=0,"",VLOOKUP($A63,TableHandbook[],5,FALSE)),"")</f>
        <v/>
      </c>
      <c r="H63" s="245" t="str">
        <f>IFERROR(VLOOKUP(A63,TableHandbook[],7,FALSE),"")</f>
        <v/>
      </c>
      <c r="I63" s="246" t="str">
        <f>IFERROR(VLOOKUP(A63,TableHandbook[],8,FALSE),"")</f>
        <v/>
      </c>
      <c r="J63" s="246" t="str">
        <f>IFERROR(VLOOKUP(A63,TableHandbook[],9,FALSE),"")</f>
        <v/>
      </c>
      <c r="K63" s="247" t="str">
        <f>IFERROR(VLOOKUP(A63,TableHandbook[],10,FALSE),"")</f>
        <v/>
      </c>
      <c r="L63" s="140"/>
      <c r="M63" s="197">
        <v>2</v>
      </c>
    </row>
    <row r="64" spans="1:16" x14ac:dyDescent="0.25">
      <c r="A64" s="241" t="str">
        <f t="shared" si="6"/>
        <v/>
      </c>
      <c r="B64" s="242" t="str">
        <f>IFERROR(IF(VLOOKUP($A64,TableHandbook[],2,FALSE)=0,"",VLOOKUP($A64,TableHandbook[],2,FALSE)),"")</f>
        <v/>
      </c>
      <c r="C64" s="242" t="str">
        <f>IFERROR(IF(VLOOKUP($A64,TableHandbook[],3,FALSE)=0,"",VLOOKUP($A64,TableHandbook[],3,FALSE)),"")</f>
        <v/>
      </c>
      <c r="D64" s="243" t="str">
        <f>IFERROR(IF(VLOOKUP($A64,TableHandbook[],4,FALSE)=0,"",VLOOKUP($A64,TableHandbook[],4,FALSE)),"")</f>
        <v/>
      </c>
      <c r="E64" s="244"/>
      <c r="F64" s="193" t="str">
        <f>IFERROR(IF(VLOOKUP($A64,TableHandbook[],6,FALSE)=0,"",VLOOKUP($A64,TableHandbook[],6,FALSE)),"")</f>
        <v/>
      </c>
      <c r="G64" s="244" t="str">
        <f>IFERROR(IF(VLOOKUP($A64,TableHandbook[],5,FALSE)=0,"",VLOOKUP($A64,TableHandbook[],5,FALSE)),"")</f>
        <v/>
      </c>
      <c r="H64" s="245" t="str">
        <f>IFERROR(VLOOKUP(A64,TableHandbook[],7,FALSE),"")</f>
        <v/>
      </c>
      <c r="I64" s="246" t="str">
        <f>IFERROR(VLOOKUP(A64,TableHandbook[],8,FALSE),"")</f>
        <v/>
      </c>
      <c r="J64" s="246" t="str">
        <f>IFERROR(VLOOKUP(A64,TableHandbook[],9,FALSE),"")</f>
        <v/>
      </c>
      <c r="K64" s="247" t="str">
        <f>IFERROR(VLOOKUP(A64,TableHandbook[],10,FALSE),"")</f>
        <v/>
      </c>
      <c r="L64" s="140"/>
      <c r="M64" s="197">
        <v>3</v>
      </c>
    </row>
    <row r="65" spans="1:15" x14ac:dyDescent="0.25">
      <c r="A65" s="241" t="str">
        <f t="shared" si="6"/>
        <v/>
      </c>
      <c r="B65" s="242" t="str">
        <f>IFERROR(IF(VLOOKUP($A65,TableHandbook[],2,FALSE)=0,"",VLOOKUP($A65,TableHandbook[],2,FALSE)),"")</f>
        <v/>
      </c>
      <c r="C65" s="242" t="str">
        <f>IFERROR(IF(VLOOKUP($A65,TableHandbook[],3,FALSE)=0,"",VLOOKUP($A65,TableHandbook[],3,FALSE)),"")</f>
        <v/>
      </c>
      <c r="D65" s="243" t="str">
        <f>IFERROR(IF(VLOOKUP($A65,TableHandbook[],4,FALSE)=0,"",VLOOKUP($A65,TableHandbook[],4,FALSE)),"")</f>
        <v/>
      </c>
      <c r="E65" s="244"/>
      <c r="F65" s="193" t="str">
        <f>IFERROR(IF(VLOOKUP($A65,TableHandbook[],6,FALSE)=0,"",VLOOKUP($A65,TableHandbook[],6,FALSE)),"")</f>
        <v/>
      </c>
      <c r="G65" s="244" t="str">
        <f>IFERROR(IF(VLOOKUP($A65,TableHandbook[],5,FALSE)=0,"",VLOOKUP($A65,TableHandbook[],5,FALSE)),"")</f>
        <v/>
      </c>
      <c r="H65" s="245" t="str">
        <f>IFERROR(VLOOKUP(A65,TableHandbook[],7,FALSE),"")</f>
        <v/>
      </c>
      <c r="I65" s="246" t="str">
        <f>IFERROR(VLOOKUP(A65,TableHandbook[],8,FALSE),"")</f>
        <v/>
      </c>
      <c r="J65" s="246" t="str">
        <f>IFERROR(VLOOKUP(A65,TableHandbook[],9,FALSE),"")</f>
        <v/>
      </c>
      <c r="K65" s="247" t="str">
        <f>IFERROR(VLOOKUP(A65,TableHandbook[],10,FALSE),"")</f>
        <v/>
      </c>
      <c r="L65" s="140"/>
      <c r="M65" s="197">
        <v>4</v>
      </c>
    </row>
    <row r="66" spans="1:15" x14ac:dyDescent="0.25">
      <c r="A66" s="241" t="str">
        <f t="shared" si="6"/>
        <v/>
      </c>
      <c r="B66" s="242" t="str">
        <f>IFERROR(IF(VLOOKUP($A66,TableHandbook[],2,FALSE)=0,"",VLOOKUP($A66,TableHandbook[],2,FALSE)),"")</f>
        <v/>
      </c>
      <c r="C66" s="242" t="str">
        <f>IFERROR(IF(VLOOKUP($A66,TableHandbook[],3,FALSE)=0,"",VLOOKUP($A66,TableHandbook[],3,FALSE)),"")</f>
        <v/>
      </c>
      <c r="D66" s="243" t="str">
        <f>IFERROR(IF(VLOOKUP($A66,TableHandbook[],4,FALSE)=0,"",VLOOKUP($A66,TableHandbook[],4,FALSE)),"")</f>
        <v/>
      </c>
      <c r="E66" s="244"/>
      <c r="F66" s="193" t="str">
        <f>IFERROR(IF(VLOOKUP($A66,TableHandbook[],6,FALSE)=0,"",VLOOKUP($A66,TableHandbook[],6,FALSE)),"")</f>
        <v/>
      </c>
      <c r="G66" s="244" t="str">
        <f>IFERROR(IF(VLOOKUP($A66,TableHandbook[],5,FALSE)=0,"",VLOOKUP($A66,TableHandbook[],5,FALSE)),"")</f>
        <v/>
      </c>
      <c r="H66" s="245" t="str">
        <f>IFERROR(VLOOKUP(A66,TableHandbook[],7,FALSE),"")</f>
        <v/>
      </c>
      <c r="I66" s="246" t="str">
        <f>IFERROR(VLOOKUP(A66,TableHandbook[],8,FALSE),"")</f>
        <v/>
      </c>
      <c r="J66" s="246" t="str">
        <f>IFERROR(VLOOKUP(A66,TableHandbook[],9,FALSE),"")</f>
        <v/>
      </c>
      <c r="K66" s="247" t="str">
        <f>IFERROR(VLOOKUP(A66,TableHandbook[],10,FALSE),"")</f>
        <v/>
      </c>
      <c r="L66" s="140"/>
      <c r="M66" s="197">
        <v>5</v>
      </c>
    </row>
    <row r="67" spans="1:15" x14ac:dyDescent="0.25">
      <c r="A67" s="241" t="str">
        <f t="shared" si="6"/>
        <v/>
      </c>
      <c r="B67" s="242" t="str">
        <f>IFERROR(IF(VLOOKUP($A67,TableHandbook[],2,FALSE)=0,"",VLOOKUP($A67,TableHandbook[],2,FALSE)),"")</f>
        <v/>
      </c>
      <c r="C67" s="242" t="str">
        <f>IFERROR(IF(VLOOKUP($A67,TableHandbook[],3,FALSE)=0,"",VLOOKUP($A67,TableHandbook[],3,FALSE)),"")</f>
        <v/>
      </c>
      <c r="D67" s="243" t="str">
        <f>IFERROR(IF(VLOOKUP($A67,TableHandbook[],4,FALSE)=0,"",VLOOKUP($A67,TableHandbook[],4,FALSE)),"")</f>
        <v/>
      </c>
      <c r="E67" s="244"/>
      <c r="F67" s="193" t="str">
        <f>IFERROR(IF(VLOOKUP($A67,TableHandbook[],6,FALSE)=0,"",VLOOKUP($A67,TableHandbook[],6,FALSE)),"")</f>
        <v/>
      </c>
      <c r="G67" s="244" t="str">
        <f>IFERROR(IF(VLOOKUP($A67,TableHandbook[],5,FALSE)=0,"",VLOOKUP($A67,TableHandbook[],5,FALSE)),"")</f>
        <v/>
      </c>
      <c r="H67" s="245" t="str">
        <f>IFERROR(VLOOKUP(A67,TableHandbook[],7,FALSE),"")</f>
        <v/>
      </c>
      <c r="I67" s="246" t="str">
        <f>IFERROR(VLOOKUP(A67,TableHandbook[],8,FALSE),"")</f>
        <v/>
      </c>
      <c r="J67" s="246" t="str">
        <f>IFERROR(VLOOKUP(A67,TableHandbook[],9,FALSE),"")</f>
        <v/>
      </c>
      <c r="K67" s="247" t="str">
        <f>IFERROR(VLOOKUP(A67,TableHandbook[],10,FALSE),"")</f>
        <v/>
      </c>
      <c r="L67" s="140"/>
      <c r="M67" s="197">
        <v>6</v>
      </c>
    </row>
    <row r="68" spans="1:15" x14ac:dyDescent="0.25">
      <c r="A68" s="241" t="str">
        <f t="shared" si="6"/>
        <v/>
      </c>
      <c r="B68" s="242" t="str">
        <f>IFERROR(IF(VLOOKUP($A68,TableHandbook[],2,FALSE)=0,"",VLOOKUP($A68,TableHandbook[],2,FALSE)),"")</f>
        <v/>
      </c>
      <c r="C68" s="242" t="str">
        <f>IFERROR(IF(VLOOKUP($A68,TableHandbook[],3,FALSE)=0,"",VLOOKUP($A68,TableHandbook[],3,FALSE)),"")</f>
        <v/>
      </c>
      <c r="D68" s="243" t="str">
        <f>IFERROR(IF(VLOOKUP($A68,TableHandbook[],4,FALSE)=0,"",VLOOKUP($A68,TableHandbook[],4,FALSE)),"")</f>
        <v/>
      </c>
      <c r="E68" s="244"/>
      <c r="F68" s="193" t="str">
        <f>IFERROR(IF(VLOOKUP($A68,TableHandbook[],6,FALSE)=0,"",VLOOKUP($A68,TableHandbook[],6,FALSE)),"")</f>
        <v/>
      </c>
      <c r="G68" s="244" t="str">
        <f>IFERROR(IF(VLOOKUP($A68,TableHandbook[],5,FALSE)=0,"",VLOOKUP($A68,TableHandbook[],5,FALSE)),"")</f>
        <v/>
      </c>
      <c r="H68" s="245" t="str">
        <f>IFERROR(VLOOKUP(A68,TableHandbook[],7,FALSE),"")</f>
        <v/>
      </c>
      <c r="I68" s="246" t="str">
        <f>IFERROR(VLOOKUP(A68,TableHandbook[],8,FALSE),"")</f>
        <v/>
      </c>
      <c r="J68" s="246" t="str">
        <f>IFERROR(VLOOKUP(A68,TableHandbook[],9,FALSE),"")</f>
        <v/>
      </c>
      <c r="K68" s="247" t="str">
        <f>IFERROR(VLOOKUP(A68,TableHandbook[],10,FALSE),"")</f>
        <v/>
      </c>
      <c r="L68" s="140"/>
      <c r="M68" s="197">
        <v>7</v>
      </c>
    </row>
    <row r="69" spans="1:15" x14ac:dyDescent="0.25">
      <c r="A69" s="241" t="str">
        <f t="shared" si="6"/>
        <v/>
      </c>
      <c r="B69" s="242" t="str">
        <f>IFERROR(IF(VLOOKUP($A69,TableHandbook[],2,FALSE)=0,"",VLOOKUP($A69,TableHandbook[],2,FALSE)),"")</f>
        <v/>
      </c>
      <c r="C69" s="242" t="str">
        <f>IFERROR(IF(VLOOKUP($A69,TableHandbook[],3,FALSE)=0,"",VLOOKUP($A69,TableHandbook[],3,FALSE)),"")</f>
        <v/>
      </c>
      <c r="D69" s="243" t="str">
        <f>IFERROR(IF(VLOOKUP($A69,TableHandbook[],4,FALSE)=0,"",VLOOKUP($A69,TableHandbook[],4,FALSE)),"")</f>
        <v/>
      </c>
      <c r="E69" s="244"/>
      <c r="F69" s="193" t="str">
        <f>IFERROR(IF(VLOOKUP($A69,TableHandbook[],6,FALSE)=0,"",VLOOKUP($A69,TableHandbook[],6,FALSE)),"")</f>
        <v/>
      </c>
      <c r="G69" s="244" t="str">
        <f>IFERROR(IF(VLOOKUP($A69,TableHandbook[],5,FALSE)=0,"",VLOOKUP($A69,TableHandbook[],5,FALSE)),"")</f>
        <v/>
      </c>
      <c r="H69" s="245" t="str">
        <f>IFERROR(VLOOKUP(A69,TableHandbook[],7,FALSE),"")</f>
        <v/>
      </c>
      <c r="I69" s="246" t="str">
        <f>IFERROR(VLOOKUP(A69,TableHandbook[],8,FALSE),"")</f>
        <v/>
      </c>
      <c r="J69" s="246" t="str">
        <f>IFERROR(VLOOKUP(A69,TableHandbook[],9,FALSE),"")</f>
        <v/>
      </c>
      <c r="K69" s="247" t="str">
        <f>IFERROR(VLOOKUP(A69,TableHandbook[],10,FALSE),"")</f>
        <v/>
      </c>
      <c r="L69" s="140"/>
      <c r="M69" s="197">
        <v>8</v>
      </c>
    </row>
    <row r="70" spans="1:15" x14ac:dyDescent="0.25">
      <c r="A70" s="241" t="str">
        <f t="shared" si="6"/>
        <v/>
      </c>
      <c r="B70" s="242" t="str">
        <f>IFERROR(IF(VLOOKUP($A70,TableHandbook[],2,FALSE)=0,"",VLOOKUP($A70,TableHandbook[],2,FALSE)),"")</f>
        <v/>
      </c>
      <c r="C70" s="242" t="str">
        <f>IFERROR(IF(VLOOKUP($A70,TableHandbook[],3,FALSE)=0,"",VLOOKUP($A70,TableHandbook[],3,FALSE)),"")</f>
        <v/>
      </c>
      <c r="D70" s="243" t="str">
        <f>IFERROR(IF(VLOOKUP($A70,TableHandbook[],4,FALSE)=0,"",VLOOKUP($A70,TableHandbook[],4,FALSE)),"")</f>
        <v/>
      </c>
      <c r="E70" s="244"/>
      <c r="F70" s="193" t="str">
        <f>IFERROR(IF(VLOOKUP($A70,TableHandbook[],6,FALSE)=0,"",VLOOKUP($A70,TableHandbook[],6,FALSE)),"")</f>
        <v/>
      </c>
      <c r="G70" s="244" t="str">
        <f>IFERROR(IF(VLOOKUP($A70,TableHandbook[],5,FALSE)=0,"",VLOOKUP($A70,TableHandbook[],5,FALSE)),"")</f>
        <v/>
      </c>
      <c r="H70" s="245" t="str">
        <f>IFERROR(VLOOKUP(A70,TableHandbook[],7,FALSE),"")</f>
        <v/>
      </c>
      <c r="I70" s="246" t="str">
        <f>IFERROR(VLOOKUP(A70,TableHandbook[],8,FALSE),"")</f>
        <v/>
      </c>
      <c r="J70" s="246" t="str">
        <f>IFERROR(VLOOKUP(A70,TableHandbook[],9,FALSE),"")</f>
        <v/>
      </c>
      <c r="K70" s="247" t="str">
        <f>IFERROR(VLOOKUP(A70,TableHandbook[],10,FALSE),"")</f>
        <v/>
      </c>
      <c r="L70" s="140"/>
      <c r="M70" s="197">
        <v>9</v>
      </c>
    </row>
    <row r="71" spans="1:15" x14ac:dyDescent="0.25">
      <c r="A71" s="241" t="str">
        <f t="shared" si="6"/>
        <v/>
      </c>
      <c r="B71" s="242" t="str">
        <f>IFERROR(IF(VLOOKUP($A71,TableHandbook[],2,FALSE)=0,"",VLOOKUP($A71,TableHandbook[],2,FALSE)),"")</f>
        <v/>
      </c>
      <c r="C71" s="242" t="str">
        <f>IFERROR(IF(VLOOKUP($A71,TableHandbook[],3,FALSE)=0,"",VLOOKUP($A71,TableHandbook[],3,FALSE)),"")</f>
        <v/>
      </c>
      <c r="D71" s="243" t="str">
        <f>IFERROR(IF(VLOOKUP($A71,TableHandbook[],4,FALSE)=0,"",VLOOKUP($A71,TableHandbook[],4,FALSE)),"")</f>
        <v/>
      </c>
      <c r="E71" s="244"/>
      <c r="F71" s="193" t="str">
        <f>IFERROR(IF(VLOOKUP($A71,TableHandbook[],6,FALSE)=0,"",VLOOKUP($A71,TableHandbook[],6,FALSE)),"")</f>
        <v/>
      </c>
      <c r="G71" s="244" t="str">
        <f>IFERROR(IF(VLOOKUP($A71,TableHandbook[],5,FALSE)=0,"",VLOOKUP($A71,TableHandbook[],5,FALSE)),"")</f>
        <v/>
      </c>
      <c r="H71" s="245" t="str">
        <f>IFERROR(VLOOKUP(A71,TableHandbook[],7,FALSE),"")</f>
        <v/>
      </c>
      <c r="I71" s="246" t="str">
        <f>IFERROR(VLOOKUP(A71,TableHandbook[],8,FALSE),"")</f>
        <v/>
      </c>
      <c r="J71" s="246" t="str">
        <f>IFERROR(VLOOKUP(A71,TableHandbook[],9,FALSE),"")</f>
        <v/>
      </c>
      <c r="K71" s="247" t="str">
        <f>IFERROR(VLOOKUP(A71,TableHandbook[],10,FALSE),"")</f>
        <v/>
      </c>
      <c r="L71" s="140"/>
      <c r="M71" s="197">
        <v>10</v>
      </c>
    </row>
    <row r="72" spans="1:15" x14ac:dyDescent="0.25">
      <c r="A72" s="241" t="str">
        <f>IFERROR(IF(HLOOKUP($L$61,RangeSpecSets,M72,FALSE)=0,"",HLOOKUP($L$61,RangeSpecSets,M72,FALSE)),"")</f>
        <v/>
      </c>
      <c r="B72" s="242" t="str">
        <f>IFERROR(IF(VLOOKUP($A72,TableHandbook[],2,FALSE)=0,"",VLOOKUP($A72,TableHandbook[],2,FALSE)),"")</f>
        <v/>
      </c>
      <c r="C72" s="242" t="str">
        <f>IFERROR(IF(VLOOKUP($A72,TableHandbook[],3,FALSE)=0,"",VLOOKUP($A72,TableHandbook[],3,FALSE)),"")</f>
        <v/>
      </c>
      <c r="D72" s="243" t="str">
        <f>IFERROR(IF(VLOOKUP($A72,TableHandbook[],4,FALSE)=0,"",VLOOKUP($A72,TableHandbook[],4,FALSE)),"")</f>
        <v/>
      </c>
      <c r="E72" s="244"/>
      <c r="F72" s="193" t="str">
        <f>IFERROR(IF(VLOOKUP($A72,TableHandbook[],6,FALSE)=0,"",VLOOKUP($A72,TableHandbook[],6,FALSE)),"")</f>
        <v/>
      </c>
      <c r="G72" s="244" t="str">
        <f>IFERROR(IF(VLOOKUP($A72,TableHandbook[],5,FALSE)=0,"",VLOOKUP($A72,TableHandbook[],5,FALSE)),"")</f>
        <v/>
      </c>
      <c r="H72" s="245" t="str">
        <f>IFERROR(VLOOKUP(A72,TableHandbook[],7,FALSE),"")</f>
        <v/>
      </c>
      <c r="I72" s="246" t="str">
        <f>IFERROR(VLOOKUP(A72,TableHandbook[],8,FALSE),"")</f>
        <v/>
      </c>
      <c r="J72" s="246" t="str">
        <f>IFERROR(VLOOKUP(A72,TableHandbook[],9,FALSE),"")</f>
        <v/>
      </c>
      <c r="K72" s="247" t="str">
        <f>IFERROR(VLOOKUP(A72,TableHandbook[],10,FALSE),"")</f>
        <v/>
      </c>
      <c r="L72" s="140"/>
      <c r="M72" s="197">
        <v>11</v>
      </c>
    </row>
    <row r="73" spans="1:15" x14ac:dyDescent="0.25">
      <c r="A73" s="241" t="str">
        <f>IFERROR(IF(HLOOKUP($L$61,RangeSpecSets,M73,FALSE)=0,"",HLOOKUP($L$61,RangeSpecSets,M73,FALSE)),"")</f>
        <v/>
      </c>
      <c r="B73" s="242" t="str">
        <f>IFERROR(IF(VLOOKUP($A73,TableHandbook[],2,FALSE)=0,"",VLOOKUP($A73,TableHandbook[],2,FALSE)),"")</f>
        <v/>
      </c>
      <c r="C73" s="242" t="str">
        <f>IFERROR(IF(VLOOKUP($A73,TableHandbook[],3,FALSE)=0,"",VLOOKUP($A73,TableHandbook[],3,FALSE)),"")</f>
        <v/>
      </c>
      <c r="D73" s="243" t="str">
        <f>IFERROR(IF(VLOOKUP($A73,TableHandbook[],4,FALSE)=0,"",VLOOKUP($A73,TableHandbook[],4,FALSE)),"")</f>
        <v/>
      </c>
      <c r="E73" s="244"/>
      <c r="F73" s="193" t="str">
        <f>IFERROR(IF(VLOOKUP($A73,TableHandbook[],6,FALSE)=0,"",VLOOKUP($A73,TableHandbook[],6,FALSE)),"")</f>
        <v/>
      </c>
      <c r="G73" s="244" t="str">
        <f>IFERROR(IF(VLOOKUP($A73,TableHandbook[],5,FALSE)=0,"",VLOOKUP($A73,TableHandbook[],5,FALSE)),"")</f>
        <v/>
      </c>
      <c r="H73" s="245" t="str">
        <f>IFERROR(VLOOKUP(A73,TableHandbook[],7,FALSE),"")</f>
        <v/>
      </c>
      <c r="I73" s="246" t="str">
        <f>IFERROR(VLOOKUP(A73,TableHandbook[],8,FALSE),"")</f>
        <v/>
      </c>
      <c r="J73" s="246" t="str">
        <f>IFERROR(VLOOKUP(A73,TableHandbook[],9,FALSE),"")</f>
        <v/>
      </c>
      <c r="K73" s="247" t="str">
        <f>IFERROR(VLOOKUP(A73,TableHandbook[],10,FALSE),"")</f>
        <v/>
      </c>
      <c r="L73" s="140"/>
      <c r="M73" s="197">
        <v>12</v>
      </c>
    </row>
    <row r="74" spans="1:15" x14ac:dyDescent="0.25">
      <c r="A74" s="241" t="str">
        <f>IFERROR(IF(HLOOKUP($L$61,RangeSpecSets,M74,FALSE)=0,"",HLOOKUP($L$61,RangeSpecSets,M74,FALSE)),"")</f>
        <v/>
      </c>
      <c r="B74" s="242" t="str">
        <f>IFERROR(IF(VLOOKUP($A74,TableHandbook[],2,FALSE)=0,"",VLOOKUP($A74,TableHandbook[],2,FALSE)),"")</f>
        <v/>
      </c>
      <c r="C74" s="242" t="str">
        <f>IFERROR(IF(VLOOKUP($A74,TableHandbook[],3,FALSE)=0,"",VLOOKUP($A74,TableHandbook[],3,FALSE)),"")</f>
        <v/>
      </c>
      <c r="D74" s="243" t="str">
        <f>IFERROR(IF(VLOOKUP($A74,TableHandbook[],4,FALSE)=0,"",VLOOKUP($A74,TableHandbook[],4,FALSE)),"")</f>
        <v/>
      </c>
      <c r="E74" s="244"/>
      <c r="F74" s="193" t="str">
        <f>IFERROR(IF(VLOOKUP($A74,TableHandbook[],6,FALSE)=0,"",VLOOKUP($A74,TableHandbook[],6,FALSE)),"")</f>
        <v/>
      </c>
      <c r="G74" s="244" t="str">
        <f>IFERROR(IF(VLOOKUP($A74,TableHandbook[],5,FALSE)=0,"",VLOOKUP($A74,TableHandbook[],5,FALSE)),"")</f>
        <v/>
      </c>
      <c r="H74" s="245" t="str">
        <f>IFERROR(VLOOKUP(A74,TableHandbook[],7,FALSE),"")</f>
        <v/>
      </c>
      <c r="I74" s="246" t="str">
        <f>IFERROR(VLOOKUP(A74,TableHandbook[],8,FALSE),"")</f>
        <v/>
      </c>
      <c r="J74" s="246" t="str">
        <f>IFERROR(VLOOKUP(A74,TableHandbook[],9,FALSE),"")</f>
        <v/>
      </c>
      <c r="K74" s="247" t="str">
        <f>IFERROR(VLOOKUP(A74,TableHandbook[],10,FALSE),"")</f>
        <v/>
      </c>
      <c r="L74" s="140"/>
      <c r="M74" s="197">
        <v>13</v>
      </c>
    </row>
    <row r="75" spans="1:15" x14ac:dyDescent="0.25">
      <c r="A75" s="241" t="str">
        <f>IFERROR(IF(HLOOKUP($L$61,RangeSpecSets,M75,FALSE)=0,"",HLOOKUP($L$61,RangeSpecSets,M75,FALSE)),"")</f>
        <v/>
      </c>
      <c r="B75" s="242" t="str">
        <f>IFERROR(IF(VLOOKUP($A75,TableHandbook[],2,FALSE)=0,"",VLOOKUP($A75,TableHandbook[],2,FALSE)),"")</f>
        <v/>
      </c>
      <c r="C75" s="242" t="str">
        <f>IFERROR(IF(VLOOKUP($A75,TableHandbook[],3,FALSE)=0,"",VLOOKUP($A75,TableHandbook[],3,FALSE)),"")</f>
        <v/>
      </c>
      <c r="D75" s="243" t="str">
        <f>IFERROR(IF(VLOOKUP($A75,TableHandbook[],4,FALSE)=0,"",VLOOKUP($A75,TableHandbook[],4,FALSE)),"")</f>
        <v/>
      </c>
      <c r="E75" s="244"/>
      <c r="F75" s="193" t="str">
        <f>IFERROR(IF(VLOOKUP($A75,TableHandbook[],6,FALSE)=0,"",VLOOKUP($A75,TableHandbook[],6,FALSE)),"")</f>
        <v/>
      </c>
      <c r="G75" s="244" t="str">
        <f>IFERROR(IF(VLOOKUP($A75,TableHandbook[],5,FALSE)=0,"",VLOOKUP($A75,TableHandbook[],5,FALSE)),"")</f>
        <v/>
      </c>
      <c r="H75" s="245" t="str">
        <f>IFERROR(VLOOKUP(A75,TableHandbook[],7,FALSE),"")</f>
        <v/>
      </c>
      <c r="I75" s="246" t="str">
        <f>IFERROR(VLOOKUP(A75,TableHandbook[],8,FALSE),"")</f>
        <v/>
      </c>
      <c r="J75" s="246" t="str">
        <f>IFERROR(VLOOKUP(A75,TableHandbook[],9,FALSE),"")</f>
        <v/>
      </c>
      <c r="K75" s="247" t="str">
        <f>IFERROR(VLOOKUP(A75,TableHandbook[],10,FALSE),"")</f>
        <v/>
      </c>
      <c r="L75" s="140"/>
      <c r="M75" s="197">
        <v>14</v>
      </c>
    </row>
    <row r="76" spans="1:15" x14ac:dyDescent="0.25">
      <c r="A76" s="241" t="str">
        <f t="shared" ref="A76" si="7">IFERROR(IF(HLOOKUP($L$61,RangeSpecSets,M76,FALSE)=0,"",HLOOKUP($L$61,RangeSpecSets,M76,FALSE)),"")</f>
        <v/>
      </c>
      <c r="B76" s="242" t="str">
        <f>IFERROR(IF(VLOOKUP($A76,TableHandbook[],2,FALSE)=0,"",VLOOKUP($A76,TableHandbook[],2,FALSE)),"")</f>
        <v/>
      </c>
      <c r="C76" s="242" t="str">
        <f>IFERROR(IF(VLOOKUP($A76,TableHandbook[],3,FALSE)=0,"",VLOOKUP($A76,TableHandbook[],3,FALSE)),"")</f>
        <v/>
      </c>
      <c r="D76" s="243" t="str">
        <f>IFERROR(IF(VLOOKUP($A76,TableHandbook[],4,FALSE)=0,"",VLOOKUP($A76,TableHandbook[],4,FALSE)),"")</f>
        <v/>
      </c>
      <c r="E76" s="244"/>
      <c r="F76" s="193" t="str">
        <f>IFERROR(IF(VLOOKUP($A76,TableHandbook[],6,FALSE)=0,"",VLOOKUP($A76,TableHandbook[],6,FALSE)),"")</f>
        <v/>
      </c>
      <c r="G76" s="244" t="str">
        <f>IFERROR(IF(VLOOKUP($A76,TableHandbook[],5,FALSE)=0,"",VLOOKUP($A76,TableHandbook[],5,FALSE)),"")</f>
        <v/>
      </c>
      <c r="H76" s="245" t="str">
        <f>IFERROR(VLOOKUP(A76,TableHandbook[],7,FALSE),"")</f>
        <v/>
      </c>
      <c r="I76" s="246" t="str">
        <f>IFERROR(VLOOKUP(A76,TableHandbook[],8,FALSE),"")</f>
        <v/>
      </c>
      <c r="J76" s="246" t="str">
        <f>IFERROR(VLOOKUP(A76,TableHandbook[],9,FALSE),"")</f>
        <v/>
      </c>
      <c r="K76" s="247" t="str">
        <f>IFERROR(VLOOKUP(A76,TableHandbook[],10,FALSE),"")</f>
        <v/>
      </c>
      <c r="L76" s="140"/>
      <c r="M76" s="197">
        <v>15</v>
      </c>
    </row>
    <row r="77" spans="1:15" ht="19.5" customHeight="1" x14ac:dyDescent="0.25">
      <c r="A77" s="248"/>
      <c r="B77" s="248"/>
      <c r="C77" s="249"/>
      <c r="D77" s="249"/>
      <c r="E77" s="250"/>
      <c r="F77" s="251"/>
      <c r="G77" s="250"/>
      <c r="H77" s="252"/>
      <c r="I77" s="252"/>
      <c r="J77" s="252"/>
      <c r="K77" s="252"/>
      <c r="L77" s="253"/>
      <c r="M77" s="197"/>
    </row>
    <row r="78" spans="1:15" ht="32.25" customHeight="1" x14ac:dyDescent="0.25">
      <c r="A78" s="254" t="s">
        <v>37</v>
      </c>
      <c r="B78" s="254"/>
      <c r="C78" s="254"/>
      <c r="D78" s="254"/>
      <c r="E78" s="254"/>
      <c r="F78" s="254"/>
      <c r="G78" s="254"/>
      <c r="H78" s="254"/>
      <c r="I78" s="254"/>
      <c r="J78" s="254"/>
      <c r="K78" s="254"/>
      <c r="L78" s="254"/>
    </row>
    <row r="79" spans="1:15" s="256" customFormat="1" ht="24.95" customHeight="1" x14ac:dyDescent="0.3">
      <c r="A79" s="53" t="s">
        <v>38</v>
      </c>
      <c r="B79" s="53"/>
      <c r="C79" s="53"/>
      <c r="D79" s="54"/>
      <c r="E79" s="55"/>
      <c r="F79" s="54"/>
      <c r="G79" s="54"/>
      <c r="H79" s="54"/>
      <c r="I79" s="54"/>
      <c r="J79" s="54"/>
      <c r="K79" s="54"/>
      <c r="L79" s="54"/>
      <c r="M79" s="255"/>
      <c r="N79" s="255"/>
      <c r="O79" s="255"/>
    </row>
    <row r="80" spans="1:15" ht="15" customHeight="1" x14ac:dyDescent="0.25">
      <c r="A80" s="257" t="s">
        <v>39</v>
      </c>
      <c r="B80" s="257"/>
      <c r="C80" s="257"/>
      <c r="D80" s="257"/>
      <c r="E80" s="258"/>
      <c r="F80" s="220"/>
      <c r="G80" s="259"/>
      <c r="H80" s="259"/>
      <c r="I80" s="259"/>
      <c r="J80" s="259"/>
      <c r="K80" s="259"/>
      <c r="L80" s="259" t="s">
        <v>40</v>
      </c>
    </row>
  </sheetData>
  <sheetProtection algorithmName="SHA-512" hashValue="LV9EwWC0n9bERGj9TrFWp4U6qLE3s3NnzvvOYlIJc098a1+orgjpj4/05D/D6gWsFavAbBOyMX7WYiYMiSn+Qw==" saltValue="xI0GhDOblTJxlU4g4RpCtQ==" spinCount="100000" sheet="1" objects="1" scenarios="1" formatCells="0" formatColumns="0" formatRows="0"/>
  <mergeCells count="2">
    <mergeCell ref="A3:D3"/>
    <mergeCell ref="A78:L78"/>
  </mergeCells>
  <conditionalFormatting sqref="A13:L23 A25:L35 A24:B24 L24 A36:B36 L36 A48:B48 L48">
    <cfRule type="expression" dxfId="40" priority="17">
      <formula>$A13="Spec"</formula>
    </cfRule>
  </conditionalFormatting>
  <conditionalFormatting sqref="A37:L47">
    <cfRule type="expression" dxfId="39" priority="8">
      <formula>$A37="Spec"</formula>
    </cfRule>
  </conditionalFormatting>
  <conditionalFormatting sqref="A49:L59">
    <cfRule type="expression" dxfId="38" priority="2">
      <formula>$A49="Spec"</formula>
    </cfRule>
  </conditionalFormatting>
  <conditionalFormatting sqref="A63:L76">
    <cfRule type="expression" dxfId="37" priority="16">
      <formula>$A63=""</formula>
    </cfRule>
    <cfRule type="expression" dxfId="36" priority="19">
      <formula>LEFT($D63,5)="Study"</formula>
    </cfRule>
  </conditionalFormatting>
  <conditionalFormatting sqref="D5:D10">
    <cfRule type="containsText" dxfId="35" priority="15" operator="containsText" text="Choose">
      <formula>NOT(ISERROR(SEARCH("Choose",D5)))</formula>
    </cfRule>
  </conditionalFormatting>
  <conditionalFormatting sqref="F5">
    <cfRule type="containsText" dxfId="34" priority="14" operator="containsText" text="Choose">
      <formula>NOT(ISERROR(SEARCH("Choose",F5)))</formula>
    </cfRule>
  </conditionalFormatting>
  <conditionalFormatting sqref="H13:K59">
    <cfRule type="expression" dxfId="33" priority="1">
      <formula>$E13=H$12</formula>
    </cfRule>
  </conditionalFormatting>
  <dataValidations count="1">
    <dataValidation type="list" allowBlank="1" showInputMessage="1" showErrorMessage="1" sqref="L30 L18 L15 L21 L27 L33 L39 L42 L45 L51 L54 L57" xr:uid="{00000000-0002-0000-0000-000000000000}"/>
  </dataValidations>
  <hyperlinks>
    <hyperlink ref="A79:L79"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58" orientation="portrait" r:id="rId2"/>
  <rowBreaks count="1" manualBreakCount="1">
    <brk id="59" max="10" man="1"/>
  </row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Unitsets!$A$11:$A$15</xm:f>
          </x14:formula1>
          <xm:sqref>D9</xm:sqref>
        </x14:dataValidation>
        <x14:dataValidation type="list" showInputMessage="1" showErrorMessage="1" xr:uid="{00000000-0002-0000-0000-000002000000}">
          <x14:formula1>
            <xm:f>Unitsets!$A$23:$A$26</xm:f>
          </x14:formula1>
          <xm:sqref>D8</xm:sqref>
        </x14:dataValidation>
        <x14:dataValidation type="list" showInputMessage="1" showErrorMessage="1" xr:uid="{00000000-0002-0000-0000-000003000000}">
          <x14:formula1>
            <xm:f>Unitsets!$A$18:$A$20</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75"/>
  <sheetViews>
    <sheetView zoomScale="85" zoomScaleNormal="85" workbookViewId="0">
      <selection activeCell="A2" sqref="A2"/>
    </sheetView>
  </sheetViews>
  <sheetFormatPr defaultRowHeight="15.75" x14ac:dyDescent="0.25"/>
  <cols>
    <col min="1" max="1" width="74" style="11" bestFit="1" customWidth="1"/>
    <col min="2" max="2" width="12" style="8" bestFit="1" customWidth="1"/>
    <col min="3" max="3" width="12.75" style="8" bestFit="1" customWidth="1"/>
    <col min="4" max="4" width="17.375" style="8" bestFit="1" customWidth="1"/>
    <col min="5" max="5" width="14.875" style="8" bestFit="1" customWidth="1"/>
    <col min="6" max="6" width="19.125" style="8" bestFit="1" customWidth="1"/>
    <col min="7" max="7" width="19.375" style="8" bestFit="1" customWidth="1"/>
    <col min="8" max="8" width="16.625" style="8" bestFit="1" customWidth="1"/>
    <col min="9" max="9" width="16.5" style="8" customWidth="1"/>
    <col min="10" max="10" width="15.375" style="8" bestFit="1" customWidth="1"/>
    <col min="11" max="11" width="5.875" bestFit="1" customWidth="1"/>
    <col min="12" max="12" width="5.25" bestFit="1" customWidth="1"/>
    <col min="13" max="13" width="15.25" bestFit="1" customWidth="1"/>
    <col min="14" max="14" width="5.5" bestFit="1" customWidth="1"/>
    <col min="15" max="15" width="15.625" bestFit="1" customWidth="1"/>
    <col min="16" max="16" width="5.25" bestFit="1" customWidth="1"/>
    <col min="17" max="17" width="15.625" bestFit="1" customWidth="1"/>
    <col min="18" max="18" width="5.25" bestFit="1" customWidth="1"/>
    <col min="19" max="19" width="15.625" bestFit="1" customWidth="1"/>
    <col min="20" max="20" width="5.25" bestFit="1" customWidth="1"/>
    <col min="21" max="21" width="15.375" customWidth="1"/>
    <col min="22" max="22" width="5.25" bestFit="1" customWidth="1"/>
    <col min="23" max="23" width="15.75" bestFit="1" customWidth="1"/>
    <col min="24" max="24" width="5.25" bestFit="1" customWidth="1"/>
    <col min="25" max="25" width="15.75" bestFit="1" customWidth="1"/>
    <col min="26" max="26" width="5.25" bestFit="1" customWidth="1"/>
    <col min="27" max="27" width="15.75" bestFit="1" customWidth="1"/>
    <col min="28" max="28" width="5.25" bestFit="1" customWidth="1"/>
    <col min="29" max="29" width="14.625" bestFit="1" customWidth="1"/>
    <col min="30" max="30" width="5.25" bestFit="1" customWidth="1"/>
    <col min="31" max="31" width="15" bestFit="1" customWidth="1"/>
    <col min="32" max="32" width="5.25" bestFit="1" customWidth="1"/>
    <col min="33" max="33" width="15" bestFit="1" customWidth="1"/>
    <col min="34" max="34" width="5.25" bestFit="1" customWidth="1"/>
    <col min="35" max="35" width="15" bestFit="1" customWidth="1"/>
  </cols>
  <sheetData>
    <row r="1" spans="1:43" x14ac:dyDescent="0.25">
      <c r="A1" s="13" t="s">
        <v>14</v>
      </c>
      <c r="B1" s="14"/>
      <c r="C1" s="14"/>
      <c r="D1" s="14"/>
    </row>
    <row r="2" spans="1:43" ht="39.75" thickBot="1" x14ac:dyDescent="0.3">
      <c r="L2" s="22"/>
      <c r="M2" s="130" t="s">
        <v>423</v>
      </c>
      <c r="N2" s="10"/>
      <c r="O2" s="130" t="s">
        <v>423</v>
      </c>
      <c r="P2" s="9"/>
      <c r="Q2" s="130" t="s">
        <v>423</v>
      </c>
      <c r="R2" s="9"/>
      <c r="S2" s="130" t="s">
        <v>423</v>
      </c>
      <c r="T2" s="9"/>
      <c r="U2" s="137" t="s">
        <v>426</v>
      </c>
      <c r="V2" s="9"/>
      <c r="W2" s="137" t="s">
        <v>426</v>
      </c>
      <c r="X2" s="9"/>
      <c r="Y2" s="137" t="s">
        <v>426</v>
      </c>
      <c r="Z2" s="9"/>
      <c r="AA2" s="137" t="s">
        <v>426</v>
      </c>
      <c r="AB2" s="9"/>
      <c r="AC2" s="137" t="s">
        <v>428</v>
      </c>
      <c r="AD2" s="9"/>
      <c r="AE2" s="137" t="s">
        <v>428</v>
      </c>
      <c r="AF2" s="9"/>
      <c r="AG2" s="137" t="s">
        <v>428</v>
      </c>
      <c r="AH2" s="9"/>
      <c r="AI2" s="137" t="s">
        <v>428</v>
      </c>
      <c r="AJ2" s="19"/>
      <c r="AK2" s="19"/>
      <c r="AL2" s="19"/>
      <c r="AM2" s="19"/>
      <c r="AN2" s="19"/>
    </row>
    <row r="3" spans="1:43" x14ac:dyDescent="0.25">
      <c r="J3" s="64" t="s">
        <v>41</v>
      </c>
      <c r="K3" s="1">
        <v>1</v>
      </c>
      <c r="L3" s="102"/>
      <c r="M3" s="103" t="s">
        <v>42</v>
      </c>
      <c r="N3" s="104"/>
      <c r="O3" s="103" t="s">
        <v>43</v>
      </c>
      <c r="P3" s="104"/>
      <c r="Q3" s="103" t="s">
        <v>44</v>
      </c>
      <c r="R3" s="104"/>
      <c r="S3" s="105" t="s">
        <v>45</v>
      </c>
      <c r="T3" s="102"/>
      <c r="U3" s="103" t="s">
        <v>46</v>
      </c>
      <c r="V3" s="104"/>
      <c r="W3" s="117" t="s">
        <v>47</v>
      </c>
      <c r="X3" s="104"/>
      <c r="Y3" s="103" t="s">
        <v>48</v>
      </c>
      <c r="Z3" s="104"/>
      <c r="AA3" s="105" t="s">
        <v>49</v>
      </c>
      <c r="AB3" s="102"/>
      <c r="AC3" s="103" t="s">
        <v>50</v>
      </c>
      <c r="AD3" s="104"/>
      <c r="AE3" s="117" t="s">
        <v>51</v>
      </c>
      <c r="AF3" s="104"/>
      <c r="AG3" s="103" t="s">
        <v>52</v>
      </c>
      <c r="AH3" s="104"/>
      <c r="AI3" s="105" t="s">
        <v>53</v>
      </c>
      <c r="AJ3" s="19"/>
      <c r="AK3" s="19"/>
      <c r="AL3" s="19"/>
      <c r="AM3" s="19"/>
      <c r="AN3" s="19"/>
      <c r="AO3" s="19"/>
      <c r="AP3" s="19"/>
      <c r="AQ3" s="19"/>
    </row>
    <row r="4" spans="1:43" x14ac:dyDescent="0.25">
      <c r="K4" s="17">
        <v>2</v>
      </c>
      <c r="L4" s="106" t="s">
        <v>54</v>
      </c>
      <c r="M4" s="20" t="s">
        <v>55</v>
      </c>
      <c r="N4" s="25" t="s">
        <v>56</v>
      </c>
      <c r="O4" s="20" t="s">
        <v>79</v>
      </c>
      <c r="P4" s="25" t="s">
        <v>58</v>
      </c>
      <c r="Q4" s="20" t="s">
        <v>55</v>
      </c>
      <c r="R4" s="25" t="s">
        <v>59</v>
      </c>
      <c r="S4" s="107" t="s">
        <v>79</v>
      </c>
      <c r="T4" s="106" t="s">
        <v>54</v>
      </c>
      <c r="U4" s="20" t="s">
        <v>55</v>
      </c>
      <c r="V4" s="25" t="s">
        <v>56</v>
      </c>
      <c r="W4" s="20" t="s">
        <v>79</v>
      </c>
      <c r="X4" s="25" t="s">
        <v>58</v>
      </c>
      <c r="Y4" s="20" t="s">
        <v>55</v>
      </c>
      <c r="Z4" s="25" t="s">
        <v>59</v>
      </c>
      <c r="AA4" s="107" t="s">
        <v>79</v>
      </c>
      <c r="AB4" s="106" t="s">
        <v>54</v>
      </c>
      <c r="AC4" s="20" t="s">
        <v>55</v>
      </c>
      <c r="AD4" s="25" t="s">
        <v>56</v>
      </c>
      <c r="AE4" s="20" t="s">
        <v>79</v>
      </c>
      <c r="AF4" s="25" t="s">
        <v>58</v>
      </c>
      <c r="AG4" s="20" t="s">
        <v>55</v>
      </c>
      <c r="AH4" s="25" t="s">
        <v>59</v>
      </c>
      <c r="AI4" s="107" t="s">
        <v>79</v>
      </c>
      <c r="AJ4" s="19"/>
      <c r="AK4" s="19"/>
      <c r="AL4" s="19"/>
      <c r="AM4" s="19"/>
      <c r="AN4" s="19"/>
      <c r="AO4" s="19"/>
      <c r="AP4" s="19"/>
      <c r="AQ4" s="19"/>
    </row>
    <row r="5" spans="1:43" x14ac:dyDescent="0.25">
      <c r="A5" s="63" t="s">
        <v>60</v>
      </c>
      <c r="K5" s="17">
        <v>3</v>
      </c>
      <c r="L5" s="108" t="s">
        <v>54</v>
      </c>
      <c r="M5" s="21" t="s">
        <v>61</v>
      </c>
      <c r="N5" s="26" t="s">
        <v>56</v>
      </c>
      <c r="O5" s="21" t="s">
        <v>62</v>
      </c>
      <c r="P5" s="26" t="s">
        <v>58</v>
      </c>
      <c r="Q5" s="21" t="s">
        <v>61</v>
      </c>
      <c r="R5" s="26" t="s">
        <v>59</v>
      </c>
      <c r="S5" s="109" t="s">
        <v>62</v>
      </c>
      <c r="T5" s="108" t="s">
        <v>54</v>
      </c>
      <c r="U5" s="21" t="s">
        <v>61</v>
      </c>
      <c r="V5" s="26" t="s">
        <v>56</v>
      </c>
      <c r="W5" s="21" t="s">
        <v>62</v>
      </c>
      <c r="X5" s="26" t="s">
        <v>58</v>
      </c>
      <c r="Y5" s="21" t="s">
        <v>61</v>
      </c>
      <c r="Z5" s="26" t="s">
        <v>59</v>
      </c>
      <c r="AA5" s="109" t="s">
        <v>62</v>
      </c>
      <c r="AB5" s="108" t="s">
        <v>54</v>
      </c>
      <c r="AC5" s="21" t="s">
        <v>61</v>
      </c>
      <c r="AD5" s="26" t="s">
        <v>56</v>
      </c>
      <c r="AE5" s="21" t="s">
        <v>62</v>
      </c>
      <c r="AF5" s="26" t="s">
        <v>58</v>
      </c>
      <c r="AG5" s="21" t="s">
        <v>61</v>
      </c>
      <c r="AH5" s="26" t="s">
        <v>59</v>
      </c>
      <c r="AI5" s="109" t="s">
        <v>62</v>
      </c>
      <c r="AJ5" s="19"/>
      <c r="AK5" s="19"/>
      <c r="AL5" s="19"/>
      <c r="AM5" s="19"/>
      <c r="AN5" s="19"/>
      <c r="AO5" s="19"/>
      <c r="AP5" s="19"/>
      <c r="AQ5" s="19"/>
    </row>
    <row r="6" spans="1:43" x14ac:dyDescent="0.25">
      <c r="A6" s="8" t="s">
        <v>63</v>
      </c>
      <c r="B6" s="11" t="s">
        <v>0</v>
      </c>
      <c r="C6" s="8" t="s">
        <v>64</v>
      </c>
      <c r="D6" s="8" t="s">
        <v>65</v>
      </c>
      <c r="E6" s="8" t="s">
        <v>66</v>
      </c>
      <c r="F6" s="8" t="s">
        <v>67</v>
      </c>
      <c r="G6" s="8" t="s">
        <v>68</v>
      </c>
      <c r="H6" s="8" t="s">
        <v>69</v>
      </c>
      <c r="K6" s="17">
        <v>4</v>
      </c>
      <c r="L6" s="108" t="s">
        <v>56</v>
      </c>
      <c r="M6" s="21" t="s">
        <v>79</v>
      </c>
      <c r="N6" s="26" t="s">
        <v>58</v>
      </c>
      <c r="O6" s="21" t="s">
        <v>55</v>
      </c>
      <c r="P6" s="26" t="s">
        <v>59</v>
      </c>
      <c r="Q6" s="21" t="s">
        <v>79</v>
      </c>
      <c r="R6" s="26" t="s">
        <v>54</v>
      </c>
      <c r="S6" s="109" t="s">
        <v>55</v>
      </c>
      <c r="T6" s="108" t="s">
        <v>56</v>
      </c>
      <c r="U6" s="21" t="s">
        <v>79</v>
      </c>
      <c r="V6" s="26" t="s">
        <v>58</v>
      </c>
      <c r="W6" s="21" t="s">
        <v>55</v>
      </c>
      <c r="X6" s="26" t="s">
        <v>59</v>
      </c>
      <c r="Y6" s="21" t="s">
        <v>79</v>
      </c>
      <c r="Z6" s="26" t="s">
        <v>54</v>
      </c>
      <c r="AA6" s="109" t="s">
        <v>55</v>
      </c>
      <c r="AB6" s="108" t="s">
        <v>56</v>
      </c>
      <c r="AC6" s="21" t="s">
        <v>79</v>
      </c>
      <c r="AD6" s="26" t="s">
        <v>58</v>
      </c>
      <c r="AE6" s="21" t="s">
        <v>55</v>
      </c>
      <c r="AF6" s="26" t="s">
        <v>59</v>
      </c>
      <c r="AG6" s="21" t="s">
        <v>79</v>
      </c>
      <c r="AH6" s="26" t="s">
        <v>54</v>
      </c>
      <c r="AI6" s="109" t="s">
        <v>55</v>
      </c>
      <c r="AJ6" s="8"/>
      <c r="AK6" s="5"/>
      <c r="AL6" s="19"/>
      <c r="AM6" s="19"/>
      <c r="AN6" s="19"/>
      <c r="AO6" s="19"/>
      <c r="AP6" s="19"/>
      <c r="AQ6" s="19"/>
    </row>
    <row r="7" spans="1:43" x14ac:dyDescent="0.25">
      <c r="A7" s="8" t="s">
        <v>14</v>
      </c>
      <c r="B7" s="88" t="s">
        <v>70</v>
      </c>
      <c r="C7" s="87" t="s">
        <v>71</v>
      </c>
      <c r="D7" s="85">
        <v>44927</v>
      </c>
      <c r="E7" s="82">
        <v>8</v>
      </c>
      <c r="F7" s="83">
        <v>45658</v>
      </c>
      <c r="G7" s="33" t="s">
        <v>72</v>
      </c>
      <c r="H7" s="87" t="s">
        <v>73</v>
      </c>
      <c r="I7" s="33"/>
      <c r="K7" s="17">
        <v>5</v>
      </c>
      <c r="L7" s="108" t="s">
        <v>56</v>
      </c>
      <c r="M7" s="21" t="s">
        <v>62</v>
      </c>
      <c r="N7" s="26" t="s">
        <v>58</v>
      </c>
      <c r="O7" s="21" t="s">
        <v>61</v>
      </c>
      <c r="P7" s="26" t="s">
        <v>59</v>
      </c>
      <c r="Q7" s="21" t="s">
        <v>62</v>
      </c>
      <c r="R7" s="26" t="s">
        <v>54</v>
      </c>
      <c r="S7" s="109" t="s">
        <v>61</v>
      </c>
      <c r="T7" s="108" t="s">
        <v>56</v>
      </c>
      <c r="U7" s="21" t="s">
        <v>62</v>
      </c>
      <c r="V7" s="26" t="s">
        <v>58</v>
      </c>
      <c r="W7" s="21" t="s">
        <v>61</v>
      </c>
      <c r="X7" s="26" t="s">
        <v>59</v>
      </c>
      <c r="Y7" s="21" t="s">
        <v>62</v>
      </c>
      <c r="Z7" s="26" t="s">
        <v>54</v>
      </c>
      <c r="AA7" s="109" t="s">
        <v>61</v>
      </c>
      <c r="AB7" s="108" t="s">
        <v>56</v>
      </c>
      <c r="AC7" s="21" t="s">
        <v>62</v>
      </c>
      <c r="AD7" s="26" t="s">
        <v>58</v>
      </c>
      <c r="AE7" s="21" t="s">
        <v>61</v>
      </c>
      <c r="AF7" s="26" t="s">
        <v>59</v>
      </c>
      <c r="AG7" s="21" t="s">
        <v>62</v>
      </c>
      <c r="AH7" s="26" t="s">
        <v>54</v>
      </c>
      <c r="AI7" s="109" t="s">
        <v>61</v>
      </c>
      <c r="AJ7" s="8"/>
      <c r="AK7" s="5"/>
      <c r="AL7" s="4"/>
      <c r="AM7" s="5"/>
      <c r="AN7" s="4"/>
      <c r="AO7" s="5"/>
      <c r="AP7" s="5"/>
    </row>
    <row r="8" spans="1:43" x14ac:dyDescent="0.25">
      <c r="A8" s="8" t="s">
        <v>74</v>
      </c>
      <c r="B8" s="87" t="s">
        <v>75</v>
      </c>
      <c r="C8" s="87" t="s">
        <v>71</v>
      </c>
      <c r="D8" s="85">
        <v>44927</v>
      </c>
      <c r="E8" s="82">
        <v>4</v>
      </c>
      <c r="F8" s="83">
        <v>45658</v>
      </c>
      <c r="G8" s="33" t="s">
        <v>72</v>
      </c>
      <c r="H8" s="87" t="s">
        <v>73</v>
      </c>
      <c r="I8" s="33"/>
      <c r="K8" s="17">
        <v>6</v>
      </c>
      <c r="L8" s="108" t="s">
        <v>58</v>
      </c>
      <c r="M8" s="21" t="s">
        <v>76</v>
      </c>
      <c r="N8" s="26" t="s">
        <v>59</v>
      </c>
      <c r="O8" s="21" t="s">
        <v>77</v>
      </c>
      <c r="P8" s="26" t="s">
        <v>54</v>
      </c>
      <c r="Q8" s="21" t="s">
        <v>76</v>
      </c>
      <c r="R8" s="26" t="s">
        <v>56</v>
      </c>
      <c r="S8" s="109" t="s">
        <v>77</v>
      </c>
      <c r="T8" s="108" t="s">
        <v>58</v>
      </c>
      <c r="U8" s="21" t="s">
        <v>76</v>
      </c>
      <c r="V8" s="26" t="s">
        <v>59</v>
      </c>
      <c r="W8" s="21" t="s">
        <v>77</v>
      </c>
      <c r="X8" s="26" t="s">
        <v>54</v>
      </c>
      <c r="Y8" s="21" t="s">
        <v>76</v>
      </c>
      <c r="Z8" s="26" t="s">
        <v>56</v>
      </c>
      <c r="AA8" s="109" t="s">
        <v>77</v>
      </c>
      <c r="AB8" s="108" t="s">
        <v>58</v>
      </c>
      <c r="AC8" s="21" t="s">
        <v>76</v>
      </c>
      <c r="AD8" s="26" t="s">
        <v>59</v>
      </c>
      <c r="AE8" s="21" t="s">
        <v>77</v>
      </c>
      <c r="AF8" s="26" t="s">
        <v>54</v>
      </c>
      <c r="AG8" s="21" t="s">
        <v>76</v>
      </c>
      <c r="AH8" s="26" t="s">
        <v>56</v>
      </c>
      <c r="AI8" s="109" t="s">
        <v>77</v>
      </c>
      <c r="AK8" s="23"/>
      <c r="AL8" s="4"/>
      <c r="AM8" s="5"/>
      <c r="AN8" s="4"/>
      <c r="AO8" s="18"/>
      <c r="AP8" s="5"/>
    </row>
    <row r="9" spans="1:43" x14ac:dyDescent="0.25">
      <c r="K9" s="17">
        <v>7</v>
      </c>
      <c r="L9" s="108" t="s">
        <v>58</v>
      </c>
      <c r="M9" s="21" t="s">
        <v>78</v>
      </c>
      <c r="N9" s="26" t="s">
        <v>59</v>
      </c>
      <c r="O9" s="21" t="s">
        <v>57</v>
      </c>
      <c r="P9" s="26" t="s">
        <v>54</v>
      </c>
      <c r="Q9" s="21" t="s">
        <v>78</v>
      </c>
      <c r="R9" s="26" t="s">
        <v>56</v>
      </c>
      <c r="S9" s="109" t="s">
        <v>57</v>
      </c>
      <c r="T9" s="108" t="s">
        <v>58</v>
      </c>
      <c r="U9" s="21" t="s">
        <v>78</v>
      </c>
      <c r="V9" s="26" t="s">
        <v>59</v>
      </c>
      <c r="W9" s="21" t="s">
        <v>57</v>
      </c>
      <c r="X9" s="26" t="s">
        <v>54</v>
      </c>
      <c r="Y9" s="21" t="s">
        <v>78</v>
      </c>
      <c r="Z9" s="26" t="s">
        <v>56</v>
      </c>
      <c r="AA9" s="109" t="s">
        <v>57</v>
      </c>
      <c r="AB9" s="108" t="s">
        <v>58</v>
      </c>
      <c r="AC9" s="21" t="s">
        <v>78</v>
      </c>
      <c r="AD9" s="26" t="s">
        <v>59</v>
      </c>
      <c r="AE9" s="21" t="s">
        <v>57</v>
      </c>
      <c r="AF9" s="26" t="s">
        <v>54</v>
      </c>
      <c r="AG9" s="21" t="s">
        <v>78</v>
      </c>
      <c r="AH9" s="26" t="s">
        <v>56</v>
      </c>
      <c r="AI9" s="109" t="s">
        <v>57</v>
      </c>
      <c r="AO9" s="5"/>
      <c r="AP9" s="5"/>
    </row>
    <row r="10" spans="1:43" x14ac:dyDescent="0.25">
      <c r="A10" s="63" t="s">
        <v>80</v>
      </c>
      <c r="K10" s="17">
        <v>8</v>
      </c>
      <c r="L10" s="108" t="s">
        <v>59</v>
      </c>
      <c r="M10" s="21" t="s">
        <v>77</v>
      </c>
      <c r="N10" s="26" t="s">
        <v>54</v>
      </c>
      <c r="O10" s="21" t="s">
        <v>76</v>
      </c>
      <c r="P10" s="26" t="s">
        <v>56</v>
      </c>
      <c r="Q10" s="21" t="s">
        <v>77</v>
      </c>
      <c r="R10" s="26" t="s">
        <v>58</v>
      </c>
      <c r="S10" s="109" t="s">
        <v>76</v>
      </c>
      <c r="T10" s="108" t="s">
        <v>59</v>
      </c>
      <c r="U10" s="21" t="s">
        <v>77</v>
      </c>
      <c r="V10" s="26" t="s">
        <v>54</v>
      </c>
      <c r="W10" s="21" t="s">
        <v>76</v>
      </c>
      <c r="X10" s="26" t="s">
        <v>56</v>
      </c>
      <c r="Y10" s="21" t="s">
        <v>77</v>
      </c>
      <c r="Z10" s="26" t="s">
        <v>58</v>
      </c>
      <c r="AA10" s="109" t="s">
        <v>76</v>
      </c>
      <c r="AB10" s="108" t="s">
        <v>59</v>
      </c>
      <c r="AC10" s="21" t="s">
        <v>77</v>
      </c>
      <c r="AD10" s="26" t="s">
        <v>54</v>
      </c>
      <c r="AE10" s="21" t="s">
        <v>76</v>
      </c>
      <c r="AF10" s="26" t="s">
        <v>56</v>
      </c>
      <c r="AG10" s="21" t="s">
        <v>77</v>
      </c>
      <c r="AH10" s="26" t="s">
        <v>58</v>
      </c>
      <c r="AI10" s="109" t="s">
        <v>76</v>
      </c>
      <c r="AK10" s="23"/>
      <c r="AO10" s="5"/>
      <c r="AP10" s="5"/>
    </row>
    <row r="11" spans="1:43" x14ac:dyDescent="0.25">
      <c r="A11" s="12" t="s">
        <v>81</v>
      </c>
      <c r="B11" s="15" t="s">
        <v>82</v>
      </c>
      <c r="C11" s="8" t="s">
        <v>83</v>
      </c>
      <c r="D11" s="8" t="s">
        <v>84</v>
      </c>
      <c r="E11" s="8" t="s">
        <v>85</v>
      </c>
      <c r="K11" s="17">
        <v>9</v>
      </c>
      <c r="L11" s="108" t="s">
        <v>59</v>
      </c>
      <c r="M11" s="21" t="s">
        <v>57</v>
      </c>
      <c r="N11" s="27" t="s">
        <v>54</v>
      </c>
      <c r="O11" s="21" t="s">
        <v>78</v>
      </c>
      <c r="P11" s="26" t="s">
        <v>56</v>
      </c>
      <c r="Q11" s="21" t="s">
        <v>57</v>
      </c>
      <c r="R11" s="27" t="s">
        <v>58</v>
      </c>
      <c r="S11" s="109" t="s">
        <v>78</v>
      </c>
      <c r="T11" s="108" t="s">
        <v>59</v>
      </c>
      <c r="U11" s="21" t="s">
        <v>57</v>
      </c>
      <c r="V11" s="27" t="s">
        <v>54</v>
      </c>
      <c r="W11" s="21" t="s">
        <v>78</v>
      </c>
      <c r="X11" s="26" t="s">
        <v>56</v>
      </c>
      <c r="Y11" s="21" t="s">
        <v>57</v>
      </c>
      <c r="Z11" s="27" t="s">
        <v>58</v>
      </c>
      <c r="AA11" s="109" t="s">
        <v>78</v>
      </c>
      <c r="AB11" s="108" t="s">
        <v>59</v>
      </c>
      <c r="AC11" s="21" t="s">
        <v>57</v>
      </c>
      <c r="AD11" s="27" t="s">
        <v>54</v>
      </c>
      <c r="AE11" s="21" t="s">
        <v>78</v>
      </c>
      <c r="AF11" s="26" t="s">
        <v>56</v>
      </c>
      <c r="AG11" s="21" t="s">
        <v>57</v>
      </c>
      <c r="AH11" s="27" t="s">
        <v>58</v>
      </c>
      <c r="AI11" s="109" t="s">
        <v>78</v>
      </c>
      <c r="AK11" s="24"/>
      <c r="AO11" s="5"/>
      <c r="AP11" s="5"/>
    </row>
    <row r="12" spans="1:43" x14ac:dyDescent="0.25">
      <c r="A12" s="8" t="s">
        <v>21</v>
      </c>
      <c r="B12" s="33" t="s">
        <v>29</v>
      </c>
      <c r="C12" s="33" t="s">
        <v>30</v>
      </c>
      <c r="D12" s="33" t="s">
        <v>31</v>
      </c>
      <c r="E12" s="33" t="s">
        <v>32</v>
      </c>
      <c r="K12" s="17">
        <v>10</v>
      </c>
      <c r="L12" s="110" t="s">
        <v>86</v>
      </c>
      <c r="M12" s="20" t="s">
        <v>87</v>
      </c>
      <c r="N12" s="46" t="s">
        <v>88</v>
      </c>
      <c r="O12" s="20" t="s">
        <v>89</v>
      </c>
      <c r="P12" s="46" t="s">
        <v>90</v>
      </c>
      <c r="Q12" s="20" t="s">
        <v>87</v>
      </c>
      <c r="R12" s="46" t="s">
        <v>91</v>
      </c>
      <c r="S12" s="107" t="s">
        <v>89</v>
      </c>
      <c r="T12" s="106" t="s">
        <v>86</v>
      </c>
      <c r="U12" s="20" t="s">
        <v>87</v>
      </c>
      <c r="V12" s="25" t="s">
        <v>88</v>
      </c>
      <c r="W12" s="20" t="s">
        <v>89</v>
      </c>
      <c r="X12" s="25" t="s">
        <v>90</v>
      </c>
      <c r="Y12" s="20" t="s">
        <v>87</v>
      </c>
      <c r="Z12" s="25" t="s">
        <v>91</v>
      </c>
      <c r="AA12" s="107" t="s">
        <v>89</v>
      </c>
      <c r="AB12" s="106" t="s">
        <v>86</v>
      </c>
      <c r="AC12" s="20" t="s">
        <v>87</v>
      </c>
      <c r="AD12" s="25" t="s">
        <v>88</v>
      </c>
      <c r="AE12" s="20" t="s">
        <v>89</v>
      </c>
      <c r="AF12" s="25" t="s">
        <v>90</v>
      </c>
      <c r="AG12" s="20" t="s">
        <v>87</v>
      </c>
      <c r="AH12" s="25" t="s">
        <v>91</v>
      </c>
      <c r="AI12" s="107" t="s">
        <v>89</v>
      </c>
      <c r="AO12" s="5"/>
      <c r="AP12" s="5"/>
    </row>
    <row r="13" spans="1:43" x14ac:dyDescent="0.25">
      <c r="A13" s="8" t="s">
        <v>92</v>
      </c>
      <c r="B13" s="33" t="s">
        <v>30</v>
      </c>
      <c r="C13" s="33" t="s">
        <v>31</v>
      </c>
      <c r="D13" s="33" t="s">
        <v>32</v>
      </c>
      <c r="E13" s="33" t="s">
        <v>29</v>
      </c>
      <c r="K13" s="17">
        <v>11</v>
      </c>
      <c r="L13" s="111" t="s">
        <v>86</v>
      </c>
      <c r="M13" s="21" t="s">
        <v>93</v>
      </c>
      <c r="N13" s="47" t="s">
        <v>88</v>
      </c>
      <c r="O13" s="21" t="s">
        <v>94</v>
      </c>
      <c r="P13" s="47" t="s">
        <v>90</v>
      </c>
      <c r="Q13" s="21" t="s">
        <v>93</v>
      </c>
      <c r="R13" s="47" t="s">
        <v>91</v>
      </c>
      <c r="S13" s="109" t="s">
        <v>94</v>
      </c>
      <c r="T13" s="108" t="s">
        <v>86</v>
      </c>
      <c r="U13" s="21" t="s">
        <v>94</v>
      </c>
      <c r="V13" s="26" t="s">
        <v>88</v>
      </c>
      <c r="W13" s="21" t="s">
        <v>94</v>
      </c>
      <c r="X13" s="26" t="s">
        <v>90</v>
      </c>
      <c r="Y13" s="21" t="s">
        <v>94</v>
      </c>
      <c r="Z13" s="26" t="s">
        <v>91</v>
      </c>
      <c r="AA13" s="109" t="s">
        <v>95</v>
      </c>
      <c r="AB13" s="108" t="s">
        <v>86</v>
      </c>
      <c r="AC13" s="21" t="s">
        <v>94</v>
      </c>
      <c r="AD13" s="26" t="s">
        <v>88</v>
      </c>
      <c r="AE13" s="21" t="s">
        <v>94</v>
      </c>
      <c r="AF13" s="26" t="s">
        <v>90</v>
      </c>
      <c r="AG13" s="21" t="s">
        <v>94</v>
      </c>
      <c r="AH13" s="26" t="s">
        <v>91</v>
      </c>
      <c r="AI13" s="109" t="s">
        <v>94</v>
      </c>
      <c r="AO13" s="5"/>
      <c r="AP13" s="5"/>
    </row>
    <row r="14" spans="1:43" x14ac:dyDescent="0.25">
      <c r="A14" s="8" t="s">
        <v>96</v>
      </c>
      <c r="B14" s="33" t="s">
        <v>31</v>
      </c>
      <c r="C14" s="33" t="s">
        <v>32</v>
      </c>
      <c r="D14" s="33" t="s">
        <v>29</v>
      </c>
      <c r="E14" s="33" t="s">
        <v>30</v>
      </c>
      <c r="K14" s="17">
        <v>12</v>
      </c>
      <c r="L14" s="111" t="s">
        <v>88</v>
      </c>
      <c r="M14" s="21" t="s">
        <v>89</v>
      </c>
      <c r="N14" s="47" t="s">
        <v>90</v>
      </c>
      <c r="O14" s="21" t="s">
        <v>87</v>
      </c>
      <c r="P14" s="47" t="s">
        <v>91</v>
      </c>
      <c r="Q14" s="21" t="s">
        <v>89</v>
      </c>
      <c r="R14" s="47" t="s">
        <v>86</v>
      </c>
      <c r="S14" s="109" t="s">
        <v>87</v>
      </c>
      <c r="T14" s="108" t="s">
        <v>88</v>
      </c>
      <c r="U14" s="21" t="s">
        <v>89</v>
      </c>
      <c r="V14" s="26" t="s">
        <v>90</v>
      </c>
      <c r="W14" s="21" t="s">
        <v>87</v>
      </c>
      <c r="X14" s="26" t="s">
        <v>91</v>
      </c>
      <c r="Y14" s="21" t="s">
        <v>89</v>
      </c>
      <c r="Z14" s="26" t="s">
        <v>86</v>
      </c>
      <c r="AA14" s="109" t="s">
        <v>87</v>
      </c>
      <c r="AB14" s="108" t="s">
        <v>88</v>
      </c>
      <c r="AC14" s="21" t="s">
        <v>89</v>
      </c>
      <c r="AD14" s="26" t="s">
        <v>90</v>
      </c>
      <c r="AE14" s="21" t="s">
        <v>87</v>
      </c>
      <c r="AF14" s="26" t="s">
        <v>91</v>
      </c>
      <c r="AG14" s="21" t="s">
        <v>89</v>
      </c>
      <c r="AH14" s="26" t="s">
        <v>86</v>
      </c>
      <c r="AI14" s="109" t="s">
        <v>87</v>
      </c>
      <c r="AO14" s="5"/>
      <c r="AP14" s="5"/>
    </row>
    <row r="15" spans="1:43" x14ac:dyDescent="0.25">
      <c r="A15" s="8" t="s">
        <v>97</v>
      </c>
      <c r="B15" s="33" t="s">
        <v>32</v>
      </c>
      <c r="C15" s="33" t="s">
        <v>29</v>
      </c>
      <c r="D15" s="33" t="s">
        <v>30</v>
      </c>
      <c r="E15" s="33" t="s">
        <v>31</v>
      </c>
      <c r="K15" s="17">
        <v>13</v>
      </c>
      <c r="L15" s="111" t="s">
        <v>88</v>
      </c>
      <c r="M15" s="21" t="s">
        <v>94</v>
      </c>
      <c r="N15" s="47" t="s">
        <v>90</v>
      </c>
      <c r="O15" s="21" t="s">
        <v>94</v>
      </c>
      <c r="P15" s="47" t="s">
        <v>91</v>
      </c>
      <c r="Q15" s="21" t="s">
        <v>94</v>
      </c>
      <c r="R15" s="47" t="s">
        <v>86</v>
      </c>
      <c r="S15" s="109" t="s">
        <v>94</v>
      </c>
      <c r="T15" s="108" t="s">
        <v>88</v>
      </c>
      <c r="U15" s="21" t="s">
        <v>94</v>
      </c>
      <c r="V15" s="26" t="s">
        <v>90</v>
      </c>
      <c r="W15" s="21" t="s">
        <v>94</v>
      </c>
      <c r="X15" s="26" t="s">
        <v>91</v>
      </c>
      <c r="Y15" s="101" t="s">
        <v>95</v>
      </c>
      <c r="Z15" s="26" t="s">
        <v>86</v>
      </c>
      <c r="AA15" s="109" t="s">
        <v>94</v>
      </c>
      <c r="AB15" s="108" t="s">
        <v>88</v>
      </c>
      <c r="AC15" s="21" t="s">
        <v>94</v>
      </c>
      <c r="AD15" s="26" t="s">
        <v>90</v>
      </c>
      <c r="AE15" s="21" t="s">
        <v>94</v>
      </c>
      <c r="AF15" s="26" t="s">
        <v>91</v>
      </c>
      <c r="AG15" s="21" t="s">
        <v>94</v>
      </c>
      <c r="AH15" s="26" t="s">
        <v>86</v>
      </c>
      <c r="AI15" s="109" t="s">
        <v>94</v>
      </c>
      <c r="AJ15" s="8"/>
      <c r="AK15" s="5"/>
      <c r="AO15" s="5"/>
      <c r="AP15" s="5"/>
    </row>
    <row r="16" spans="1:43" x14ac:dyDescent="0.25">
      <c r="A16" s="8"/>
      <c r="F16" s="16"/>
      <c r="G16" s="16"/>
      <c r="H16" s="16"/>
      <c r="I16" s="16"/>
      <c r="K16" s="17">
        <v>14</v>
      </c>
      <c r="L16" s="111" t="s">
        <v>90</v>
      </c>
      <c r="M16" s="21" t="s">
        <v>98</v>
      </c>
      <c r="N16" s="47" t="s">
        <v>91</v>
      </c>
      <c r="O16" s="21" t="s">
        <v>99</v>
      </c>
      <c r="P16" s="47" t="s">
        <v>86</v>
      </c>
      <c r="Q16" s="21" t="s">
        <v>98</v>
      </c>
      <c r="R16" s="47" t="s">
        <v>88</v>
      </c>
      <c r="S16" s="109" t="s">
        <v>99</v>
      </c>
      <c r="T16" s="108" t="s">
        <v>90</v>
      </c>
      <c r="U16" s="21" t="s">
        <v>93</v>
      </c>
      <c r="V16" s="26" t="s">
        <v>91</v>
      </c>
      <c r="W16" s="21" t="s">
        <v>99</v>
      </c>
      <c r="X16" s="26" t="s">
        <v>86</v>
      </c>
      <c r="Y16" s="21" t="s">
        <v>93</v>
      </c>
      <c r="Z16" s="26" t="s">
        <v>88</v>
      </c>
      <c r="AA16" s="109" t="s">
        <v>99</v>
      </c>
      <c r="AB16" s="108" t="s">
        <v>90</v>
      </c>
      <c r="AC16" s="21" t="s">
        <v>93</v>
      </c>
      <c r="AD16" s="26" t="s">
        <v>91</v>
      </c>
      <c r="AE16" s="21" t="s">
        <v>99</v>
      </c>
      <c r="AF16" s="26" t="s">
        <v>86</v>
      </c>
      <c r="AG16" s="21" t="s">
        <v>93</v>
      </c>
      <c r="AH16" s="26" t="s">
        <v>88</v>
      </c>
      <c r="AI16" s="109" t="s">
        <v>99</v>
      </c>
      <c r="AJ16" s="8"/>
      <c r="AK16" s="5"/>
      <c r="AL16" s="4"/>
      <c r="AM16" s="5"/>
      <c r="AN16" s="7"/>
      <c r="AO16" s="5"/>
      <c r="AP16" s="5"/>
    </row>
    <row r="17" spans="1:42" x14ac:dyDescent="0.25">
      <c r="A17" s="63" t="s">
        <v>100</v>
      </c>
      <c r="E17" s="16"/>
      <c r="F17" s="16"/>
      <c r="G17" s="16"/>
      <c r="H17" s="16"/>
      <c r="I17" s="16"/>
      <c r="K17" s="17">
        <v>15</v>
      </c>
      <c r="L17" s="111" t="s">
        <v>90</v>
      </c>
      <c r="M17" s="21" t="s">
        <v>94</v>
      </c>
      <c r="N17" s="47" t="s">
        <v>91</v>
      </c>
      <c r="O17" s="21" t="s">
        <v>95</v>
      </c>
      <c r="P17" s="47" t="s">
        <v>86</v>
      </c>
      <c r="Q17" s="21" t="s">
        <v>94</v>
      </c>
      <c r="R17" s="47" t="s">
        <v>88</v>
      </c>
      <c r="S17" s="109" t="s">
        <v>95</v>
      </c>
      <c r="T17" s="108" t="s">
        <v>90</v>
      </c>
      <c r="U17" s="21" t="s">
        <v>98</v>
      </c>
      <c r="V17" s="26" t="s">
        <v>91</v>
      </c>
      <c r="W17" s="101" t="s">
        <v>95</v>
      </c>
      <c r="X17" s="26" t="s">
        <v>86</v>
      </c>
      <c r="Y17" s="21" t="s">
        <v>98</v>
      </c>
      <c r="Z17" s="26" t="s">
        <v>88</v>
      </c>
      <c r="AA17" s="109" t="s">
        <v>94</v>
      </c>
      <c r="AB17" s="108" t="s">
        <v>90</v>
      </c>
      <c r="AC17" s="21" t="s">
        <v>98</v>
      </c>
      <c r="AD17" s="26" t="s">
        <v>91</v>
      </c>
      <c r="AE17" s="21" t="s">
        <v>95</v>
      </c>
      <c r="AF17" s="26" t="s">
        <v>86</v>
      </c>
      <c r="AG17" s="21" t="s">
        <v>98</v>
      </c>
      <c r="AH17" s="26" t="s">
        <v>88</v>
      </c>
      <c r="AI17" s="109" t="s">
        <v>95</v>
      </c>
      <c r="AJ17" s="8"/>
      <c r="AK17" s="5"/>
      <c r="AL17" s="4"/>
      <c r="AM17" s="5"/>
      <c r="AN17" s="7"/>
      <c r="AO17" s="5"/>
      <c r="AP17" s="5"/>
    </row>
    <row r="18" spans="1:42" x14ac:dyDescent="0.25">
      <c r="A18" s="43" t="s">
        <v>101</v>
      </c>
      <c r="B18" s="11" t="s">
        <v>0</v>
      </c>
      <c r="C18" s="8" t="s">
        <v>64</v>
      </c>
      <c r="D18" s="8" t="s">
        <v>65</v>
      </c>
      <c r="E18" s="8" t="s">
        <v>66</v>
      </c>
      <c r="F18" s="8" t="s">
        <v>67</v>
      </c>
      <c r="G18" s="43" t="s">
        <v>68</v>
      </c>
      <c r="K18" s="17">
        <v>16</v>
      </c>
      <c r="L18" s="111" t="s">
        <v>91</v>
      </c>
      <c r="M18" s="21" t="s">
        <v>99</v>
      </c>
      <c r="N18" s="47" t="s">
        <v>86</v>
      </c>
      <c r="O18" s="21" t="s">
        <v>93</v>
      </c>
      <c r="P18" s="47" t="s">
        <v>88</v>
      </c>
      <c r="Q18" s="21" t="s">
        <v>99</v>
      </c>
      <c r="R18" s="47" t="s">
        <v>90</v>
      </c>
      <c r="S18" s="109" t="s">
        <v>93</v>
      </c>
      <c r="T18" s="108" t="s">
        <v>91</v>
      </c>
      <c r="U18" s="21" t="s">
        <v>99</v>
      </c>
      <c r="V18" s="26" t="s">
        <v>86</v>
      </c>
      <c r="W18" s="21" t="s">
        <v>93</v>
      </c>
      <c r="X18" s="26" t="s">
        <v>88</v>
      </c>
      <c r="Y18" s="21" t="s">
        <v>99</v>
      </c>
      <c r="Z18" s="26" t="s">
        <v>90</v>
      </c>
      <c r="AA18" s="109" t="s">
        <v>93</v>
      </c>
      <c r="AB18" s="108" t="s">
        <v>91</v>
      </c>
      <c r="AC18" s="21" t="s">
        <v>99</v>
      </c>
      <c r="AD18" s="26" t="s">
        <v>86</v>
      </c>
      <c r="AE18" s="21" t="s">
        <v>93</v>
      </c>
      <c r="AF18" s="26" t="s">
        <v>88</v>
      </c>
      <c r="AG18" s="21" t="s">
        <v>99</v>
      </c>
      <c r="AH18" s="26" t="s">
        <v>90</v>
      </c>
      <c r="AI18" s="109" t="s">
        <v>93</v>
      </c>
      <c r="AJ18" s="8"/>
      <c r="AK18" s="5"/>
      <c r="AL18" s="4"/>
      <c r="AM18" s="5"/>
      <c r="AN18" s="7"/>
      <c r="AO18" s="5"/>
      <c r="AP18" s="5"/>
    </row>
    <row r="19" spans="1:42" x14ac:dyDescent="0.25">
      <c r="A19" s="42" t="s">
        <v>16</v>
      </c>
      <c r="B19" s="84" t="s">
        <v>102</v>
      </c>
      <c r="C19" s="84" t="s">
        <v>71</v>
      </c>
      <c r="D19" s="86">
        <v>45292</v>
      </c>
      <c r="E19" s="84">
        <v>3</v>
      </c>
      <c r="F19" s="85">
        <v>45292</v>
      </c>
      <c r="G19" s="69" t="s">
        <v>103</v>
      </c>
      <c r="I19" s="16" t="s">
        <v>104</v>
      </c>
      <c r="J19"/>
      <c r="K19" s="17">
        <v>17</v>
      </c>
      <c r="L19" s="112" t="s">
        <v>91</v>
      </c>
      <c r="M19" s="21" t="s">
        <v>95</v>
      </c>
      <c r="N19" s="48" t="s">
        <v>86</v>
      </c>
      <c r="O19" s="21" t="s">
        <v>98</v>
      </c>
      <c r="P19" s="48" t="s">
        <v>88</v>
      </c>
      <c r="Q19" s="21" t="s">
        <v>95</v>
      </c>
      <c r="R19" s="48" t="s">
        <v>90</v>
      </c>
      <c r="S19" s="109" t="s">
        <v>98</v>
      </c>
      <c r="T19" s="118" t="s">
        <v>91</v>
      </c>
      <c r="U19" s="21" t="s">
        <v>95</v>
      </c>
      <c r="V19" s="27" t="s">
        <v>86</v>
      </c>
      <c r="W19" s="21" t="s">
        <v>98</v>
      </c>
      <c r="X19" s="27" t="s">
        <v>88</v>
      </c>
      <c r="Y19" s="21" t="s">
        <v>94</v>
      </c>
      <c r="Z19" s="27" t="s">
        <v>90</v>
      </c>
      <c r="AA19" s="109" t="s">
        <v>98</v>
      </c>
      <c r="AB19" s="118" t="s">
        <v>91</v>
      </c>
      <c r="AC19" s="21" t="s">
        <v>95</v>
      </c>
      <c r="AD19" s="27" t="s">
        <v>86</v>
      </c>
      <c r="AE19" s="21" t="s">
        <v>98</v>
      </c>
      <c r="AF19" s="27" t="s">
        <v>88</v>
      </c>
      <c r="AG19" s="21" t="s">
        <v>95</v>
      </c>
      <c r="AH19" s="27" t="s">
        <v>90</v>
      </c>
      <c r="AI19" s="109" t="s">
        <v>98</v>
      </c>
      <c r="AL19" s="4"/>
      <c r="AM19" s="5"/>
      <c r="AN19" s="6"/>
      <c r="AO19" s="5"/>
      <c r="AP19" s="18"/>
    </row>
    <row r="20" spans="1:42" x14ac:dyDescent="0.25">
      <c r="A20" s="42" t="s">
        <v>105</v>
      </c>
      <c r="B20" s="84" t="s">
        <v>106</v>
      </c>
      <c r="C20" s="84" t="s">
        <v>71</v>
      </c>
      <c r="D20" s="86">
        <v>45292</v>
      </c>
      <c r="E20" s="84">
        <v>3</v>
      </c>
      <c r="F20" s="85">
        <v>45292</v>
      </c>
      <c r="G20" s="69" t="s">
        <v>103</v>
      </c>
      <c r="I20" s="8" t="s">
        <v>107</v>
      </c>
      <c r="K20" s="17">
        <v>18</v>
      </c>
      <c r="L20" s="110" t="s">
        <v>108</v>
      </c>
      <c r="M20" s="20" t="s">
        <v>109</v>
      </c>
      <c r="N20" s="46" t="s">
        <v>110</v>
      </c>
      <c r="O20" s="20" t="s">
        <v>111</v>
      </c>
      <c r="P20" s="46" t="s">
        <v>112</v>
      </c>
      <c r="Q20" s="20" t="s">
        <v>109</v>
      </c>
      <c r="R20" s="46" t="s">
        <v>113</v>
      </c>
      <c r="S20" s="107" t="s">
        <v>111</v>
      </c>
      <c r="T20" s="106" t="s">
        <v>108</v>
      </c>
      <c r="U20" s="20" t="s">
        <v>114</v>
      </c>
      <c r="V20" s="25" t="s">
        <v>110</v>
      </c>
      <c r="W20" s="20" t="s">
        <v>111</v>
      </c>
      <c r="X20" s="25" t="s">
        <v>112</v>
      </c>
      <c r="Y20" s="20" t="s">
        <v>109</v>
      </c>
      <c r="Z20" s="25" t="s">
        <v>113</v>
      </c>
      <c r="AA20" s="107" t="s">
        <v>111</v>
      </c>
      <c r="AB20" s="106" t="s">
        <v>108</v>
      </c>
      <c r="AC20" s="20" t="s">
        <v>114</v>
      </c>
      <c r="AD20" s="25" t="s">
        <v>110</v>
      </c>
      <c r="AE20" s="20" t="s">
        <v>111</v>
      </c>
      <c r="AF20" s="25" t="s">
        <v>112</v>
      </c>
      <c r="AG20" s="20" t="s">
        <v>114</v>
      </c>
      <c r="AH20" s="25" t="s">
        <v>113</v>
      </c>
      <c r="AI20" s="107" t="s">
        <v>111</v>
      </c>
    </row>
    <row r="21" spans="1:42" x14ac:dyDescent="0.25">
      <c r="A21" s="8"/>
      <c r="B21" s="11"/>
      <c r="C21" s="4"/>
      <c r="D21" s="4"/>
      <c r="E21" s="32"/>
      <c r="I21" s="8" t="s">
        <v>115</v>
      </c>
      <c r="K21" s="17">
        <v>19</v>
      </c>
      <c r="L21" s="111" t="s">
        <v>108</v>
      </c>
      <c r="M21" s="21" t="s">
        <v>114</v>
      </c>
      <c r="N21" s="47" t="s">
        <v>110</v>
      </c>
      <c r="O21" s="21" t="s">
        <v>94</v>
      </c>
      <c r="P21" s="47" t="s">
        <v>112</v>
      </c>
      <c r="Q21" s="21" t="s">
        <v>114</v>
      </c>
      <c r="R21" s="47" t="s">
        <v>113</v>
      </c>
      <c r="S21" s="109" t="s">
        <v>94</v>
      </c>
      <c r="T21" s="108" t="s">
        <v>108</v>
      </c>
      <c r="U21" s="21" t="s">
        <v>94</v>
      </c>
      <c r="V21" s="26" t="s">
        <v>110</v>
      </c>
      <c r="W21" s="132" t="s">
        <v>94</v>
      </c>
      <c r="X21" s="26" t="s">
        <v>112</v>
      </c>
      <c r="Y21" s="21" t="s">
        <v>114</v>
      </c>
      <c r="Z21" s="26" t="s">
        <v>113</v>
      </c>
      <c r="AA21" s="119" t="s">
        <v>129</v>
      </c>
      <c r="AB21" s="108" t="s">
        <v>108</v>
      </c>
      <c r="AC21" s="21" t="s">
        <v>109</v>
      </c>
      <c r="AD21" s="26" t="s">
        <v>110</v>
      </c>
      <c r="AE21" s="101" t="s">
        <v>129</v>
      </c>
      <c r="AF21" s="26" t="s">
        <v>112</v>
      </c>
      <c r="AG21" s="21" t="s">
        <v>94</v>
      </c>
      <c r="AH21" s="26" t="s">
        <v>113</v>
      </c>
      <c r="AI21" s="109" t="s">
        <v>94</v>
      </c>
    </row>
    <row r="22" spans="1:42" x14ac:dyDescent="0.25">
      <c r="A22" s="63" t="s">
        <v>116</v>
      </c>
      <c r="E22" s="16"/>
      <c r="I22" s="8" t="s">
        <v>117</v>
      </c>
      <c r="K22" s="17">
        <v>20</v>
      </c>
      <c r="L22" s="111" t="s">
        <v>110</v>
      </c>
      <c r="M22" s="21" t="s">
        <v>118</v>
      </c>
      <c r="N22" s="47" t="s">
        <v>112</v>
      </c>
      <c r="O22" s="21" t="s">
        <v>109</v>
      </c>
      <c r="P22" s="47" t="s">
        <v>113</v>
      </c>
      <c r="Q22" s="21" t="s">
        <v>118</v>
      </c>
      <c r="R22" s="47" t="s">
        <v>108</v>
      </c>
      <c r="S22" s="109" t="s">
        <v>109</v>
      </c>
      <c r="T22" s="108" t="s">
        <v>110</v>
      </c>
      <c r="U22" s="21" t="s">
        <v>118</v>
      </c>
      <c r="V22" s="26" t="s">
        <v>112</v>
      </c>
      <c r="W22" s="21" t="s">
        <v>109</v>
      </c>
      <c r="X22" s="26" t="s">
        <v>113</v>
      </c>
      <c r="Y22" s="21" t="s">
        <v>118</v>
      </c>
      <c r="Z22" s="26" t="s">
        <v>108</v>
      </c>
      <c r="AA22" s="109" t="s">
        <v>114</v>
      </c>
      <c r="AB22" s="108" t="s">
        <v>110</v>
      </c>
      <c r="AC22" s="21" t="s">
        <v>118</v>
      </c>
      <c r="AD22" s="26" t="s">
        <v>112</v>
      </c>
      <c r="AE22" s="21" t="s">
        <v>114</v>
      </c>
      <c r="AF22" s="26" t="s">
        <v>113</v>
      </c>
      <c r="AG22" s="21" t="s">
        <v>118</v>
      </c>
      <c r="AH22" s="26" t="s">
        <v>108</v>
      </c>
      <c r="AI22" s="109" t="s">
        <v>114</v>
      </c>
    </row>
    <row r="23" spans="1:42" x14ac:dyDescent="0.25">
      <c r="A23" s="8" t="s">
        <v>119</v>
      </c>
      <c r="B23" s="11" t="s">
        <v>0</v>
      </c>
      <c r="C23" s="8" t="s">
        <v>64</v>
      </c>
      <c r="D23" s="8" t="s">
        <v>65</v>
      </c>
      <c r="E23" s="8" t="s">
        <v>66</v>
      </c>
      <c r="F23" s="8" t="s">
        <v>67</v>
      </c>
      <c r="G23" s="43" t="s">
        <v>68</v>
      </c>
      <c r="I23" s="8" t="s">
        <v>120</v>
      </c>
      <c r="K23" s="17">
        <v>21</v>
      </c>
      <c r="L23" s="111" t="s">
        <v>110</v>
      </c>
      <c r="M23" s="21" t="s">
        <v>94</v>
      </c>
      <c r="N23" s="47" t="s">
        <v>112</v>
      </c>
      <c r="O23" s="21" t="s">
        <v>114</v>
      </c>
      <c r="P23" s="47" t="s">
        <v>113</v>
      </c>
      <c r="Q23" s="21" t="s">
        <v>94</v>
      </c>
      <c r="R23" s="47" t="s">
        <v>108</v>
      </c>
      <c r="S23" s="109" t="s">
        <v>114</v>
      </c>
      <c r="T23" s="108" t="s">
        <v>110</v>
      </c>
      <c r="U23" s="132" t="s">
        <v>94</v>
      </c>
      <c r="V23" s="26" t="s">
        <v>112</v>
      </c>
      <c r="W23" s="21" t="s">
        <v>114</v>
      </c>
      <c r="X23" s="26" t="s">
        <v>113</v>
      </c>
      <c r="Y23" s="101" t="s">
        <v>129</v>
      </c>
      <c r="Z23" s="26" t="s">
        <v>108</v>
      </c>
      <c r="AA23" s="109" t="s">
        <v>94</v>
      </c>
      <c r="AB23" s="108" t="s">
        <v>110</v>
      </c>
      <c r="AC23" s="101" t="s">
        <v>129</v>
      </c>
      <c r="AD23" s="26" t="s">
        <v>112</v>
      </c>
      <c r="AE23" s="21" t="s">
        <v>94</v>
      </c>
      <c r="AF23" s="26" t="s">
        <v>113</v>
      </c>
      <c r="AG23" s="21" t="s">
        <v>94</v>
      </c>
      <c r="AH23" s="26" t="s">
        <v>108</v>
      </c>
      <c r="AI23" s="109" t="s">
        <v>109</v>
      </c>
    </row>
    <row r="24" spans="1:42" x14ac:dyDescent="0.25">
      <c r="A24" s="8" t="s">
        <v>121</v>
      </c>
      <c r="B24" s="87" t="s">
        <v>122</v>
      </c>
      <c r="C24" s="87" t="s">
        <v>123</v>
      </c>
      <c r="D24" s="85">
        <v>44562</v>
      </c>
      <c r="E24" s="87">
        <v>1</v>
      </c>
      <c r="F24" s="85">
        <v>44562</v>
      </c>
      <c r="G24" s="5" t="s">
        <v>124</v>
      </c>
      <c r="I24" s="8" t="s">
        <v>125</v>
      </c>
      <c r="K24" s="17">
        <v>22</v>
      </c>
      <c r="L24" s="111" t="s">
        <v>112</v>
      </c>
      <c r="M24" s="21" t="s">
        <v>126</v>
      </c>
      <c r="N24" s="47" t="s">
        <v>113</v>
      </c>
      <c r="O24" s="21" t="s">
        <v>118</v>
      </c>
      <c r="P24" s="47" t="s">
        <v>108</v>
      </c>
      <c r="Q24" s="21" t="s">
        <v>126</v>
      </c>
      <c r="R24" s="47" t="s">
        <v>110</v>
      </c>
      <c r="S24" s="109" t="s">
        <v>118</v>
      </c>
      <c r="T24" s="108" t="s">
        <v>112</v>
      </c>
      <c r="U24" s="21" t="s">
        <v>126</v>
      </c>
      <c r="V24" s="26" t="s">
        <v>113</v>
      </c>
      <c r="W24" s="21" t="s">
        <v>118</v>
      </c>
      <c r="X24" s="26" t="s">
        <v>108</v>
      </c>
      <c r="Y24" s="21" t="s">
        <v>126</v>
      </c>
      <c r="Z24" s="26" t="s">
        <v>110</v>
      </c>
      <c r="AA24" s="109" t="s">
        <v>118</v>
      </c>
      <c r="AB24" s="108" t="s">
        <v>112</v>
      </c>
      <c r="AC24" s="21" t="s">
        <v>126</v>
      </c>
      <c r="AD24" s="26" t="s">
        <v>113</v>
      </c>
      <c r="AE24" s="21" t="s">
        <v>118</v>
      </c>
      <c r="AF24" s="26" t="s">
        <v>108</v>
      </c>
      <c r="AG24" s="21" t="s">
        <v>126</v>
      </c>
      <c r="AH24" s="26" t="s">
        <v>110</v>
      </c>
      <c r="AI24" s="109" t="s">
        <v>118</v>
      </c>
    </row>
    <row r="25" spans="1:42" x14ac:dyDescent="0.25">
      <c r="A25" s="8" t="s">
        <v>18</v>
      </c>
      <c r="B25" s="87" t="s">
        <v>127</v>
      </c>
      <c r="C25" s="87" t="s">
        <v>128</v>
      </c>
      <c r="D25" s="85">
        <v>45292</v>
      </c>
      <c r="E25" s="87">
        <v>4</v>
      </c>
      <c r="F25" s="85">
        <v>45292</v>
      </c>
      <c r="G25" s="5" t="s">
        <v>124</v>
      </c>
      <c r="H25"/>
      <c r="I25"/>
      <c r="K25" s="17">
        <v>23</v>
      </c>
      <c r="L25" s="111" t="s">
        <v>112</v>
      </c>
      <c r="M25" s="21" t="s">
        <v>94</v>
      </c>
      <c r="N25" s="47" t="s">
        <v>113</v>
      </c>
      <c r="O25" s="21" t="s">
        <v>129</v>
      </c>
      <c r="P25" s="47" t="s">
        <v>108</v>
      </c>
      <c r="Q25" s="21" t="s">
        <v>94</v>
      </c>
      <c r="R25" s="47" t="s">
        <v>110</v>
      </c>
      <c r="S25" s="109" t="s">
        <v>129</v>
      </c>
      <c r="T25" s="108" t="s">
        <v>112</v>
      </c>
      <c r="U25" s="21" t="s">
        <v>109</v>
      </c>
      <c r="V25" s="26" t="s">
        <v>113</v>
      </c>
      <c r="W25" s="21" t="s">
        <v>129</v>
      </c>
      <c r="X25" s="26" t="s">
        <v>108</v>
      </c>
      <c r="Y25" s="21" t="s">
        <v>94</v>
      </c>
      <c r="Z25" s="26" t="s">
        <v>110</v>
      </c>
      <c r="AA25" s="134" t="s">
        <v>94</v>
      </c>
      <c r="AB25" s="108" t="s">
        <v>112</v>
      </c>
      <c r="AC25" s="21" t="s">
        <v>94</v>
      </c>
      <c r="AD25" s="26" t="s">
        <v>113</v>
      </c>
      <c r="AE25" s="21" t="s">
        <v>94</v>
      </c>
      <c r="AF25" s="26" t="s">
        <v>108</v>
      </c>
      <c r="AG25" s="21" t="s">
        <v>109</v>
      </c>
      <c r="AH25" s="26" t="s">
        <v>110</v>
      </c>
      <c r="AI25" s="109" t="s">
        <v>129</v>
      </c>
    </row>
    <row r="26" spans="1:42" x14ac:dyDescent="0.25">
      <c r="A26" s="8" t="s">
        <v>130</v>
      </c>
      <c r="B26" s="87" t="s">
        <v>131</v>
      </c>
      <c r="C26" s="87" t="s">
        <v>123</v>
      </c>
      <c r="D26" s="85">
        <v>44743</v>
      </c>
      <c r="E26" s="87">
        <v>1</v>
      </c>
      <c r="F26" s="85">
        <v>44743</v>
      </c>
      <c r="G26" s="5" t="s">
        <v>124</v>
      </c>
      <c r="H26"/>
      <c r="I26"/>
      <c r="K26" s="17">
        <v>24</v>
      </c>
      <c r="L26" s="111" t="s">
        <v>113</v>
      </c>
      <c r="M26" s="21" t="s">
        <v>111</v>
      </c>
      <c r="N26" s="47" t="s">
        <v>108</v>
      </c>
      <c r="O26" s="21" t="s">
        <v>126</v>
      </c>
      <c r="P26" s="47" t="s">
        <v>110</v>
      </c>
      <c r="Q26" s="21" t="s">
        <v>111</v>
      </c>
      <c r="R26" s="47" t="s">
        <v>112</v>
      </c>
      <c r="S26" s="109" t="s">
        <v>126</v>
      </c>
      <c r="T26" s="108" t="s">
        <v>113</v>
      </c>
      <c r="U26" s="21" t="s">
        <v>111</v>
      </c>
      <c r="V26" s="26" t="s">
        <v>108</v>
      </c>
      <c r="W26" s="21" t="s">
        <v>126</v>
      </c>
      <c r="X26" s="26" t="s">
        <v>110</v>
      </c>
      <c r="Y26" s="21" t="s">
        <v>111</v>
      </c>
      <c r="Z26" s="26" t="s">
        <v>112</v>
      </c>
      <c r="AA26" s="109" t="s">
        <v>126</v>
      </c>
      <c r="AB26" s="108" t="s">
        <v>113</v>
      </c>
      <c r="AC26" s="21" t="s">
        <v>111</v>
      </c>
      <c r="AD26" s="26" t="s">
        <v>108</v>
      </c>
      <c r="AE26" s="21" t="s">
        <v>126</v>
      </c>
      <c r="AF26" s="26" t="s">
        <v>110</v>
      </c>
      <c r="AG26" s="21" t="s">
        <v>111</v>
      </c>
      <c r="AH26" s="26" t="s">
        <v>112</v>
      </c>
      <c r="AI26" s="109" t="s">
        <v>126</v>
      </c>
    </row>
    <row r="27" spans="1:42" ht="16.5" thickBot="1" x14ac:dyDescent="0.3">
      <c r="F27"/>
      <c r="G27"/>
      <c r="H27"/>
      <c r="I27"/>
      <c r="K27" s="17">
        <v>25</v>
      </c>
      <c r="L27" s="113" t="s">
        <v>113</v>
      </c>
      <c r="M27" s="114" t="s">
        <v>129</v>
      </c>
      <c r="N27" s="115" t="s">
        <v>108</v>
      </c>
      <c r="O27" s="114" t="s">
        <v>94</v>
      </c>
      <c r="P27" s="115" t="s">
        <v>110</v>
      </c>
      <c r="Q27" s="114" t="s">
        <v>129</v>
      </c>
      <c r="R27" s="115" t="s">
        <v>112</v>
      </c>
      <c r="S27" s="116" t="s">
        <v>94</v>
      </c>
      <c r="T27" s="120" t="s">
        <v>113</v>
      </c>
      <c r="U27" s="114" t="s">
        <v>129</v>
      </c>
      <c r="V27" s="121" t="s">
        <v>108</v>
      </c>
      <c r="W27" s="114" t="s">
        <v>94</v>
      </c>
      <c r="X27" s="121" t="s">
        <v>110</v>
      </c>
      <c r="Y27" s="133" t="s">
        <v>94</v>
      </c>
      <c r="Z27" s="121" t="s">
        <v>112</v>
      </c>
      <c r="AA27" s="116" t="s">
        <v>109</v>
      </c>
      <c r="AB27" s="120" t="s">
        <v>113</v>
      </c>
      <c r="AC27" s="114" t="s">
        <v>94</v>
      </c>
      <c r="AD27" s="121" t="s">
        <v>108</v>
      </c>
      <c r="AE27" s="114" t="s">
        <v>109</v>
      </c>
      <c r="AF27" s="121" t="s">
        <v>110</v>
      </c>
      <c r="AG27" s="114" t="s">
        <v>129</v>
      </c>
      <c r="AH27" s="121" t="s">
        <v>112</v>
      </c>
      <c r="AI27" s="116" t="s">
        <v>94</v>
      </c>
    </row>
    <row r="28" spans="1:42" ht="22.5" x14ac:dyDescent="0.25">
      <c r="A28"/>
      <c r="B28"/>
      <c r="C28"/>
      <c r="D28"/>
      <c r="E28"/>
      <c r="F28"/>
      <c r="G28"/>
      <c r="H28"/>
      <c r="I28"/>
      <c r="U28" s="135" t="s">
        <v>425</v>
      </c>
      <c r="W28" s="131" t="s">
        <v>424</v>
      </c>
      <c r="Y28" s="131" t="s">
        <v>424</v>
      </c>
      <c r="AA28" s="131" t="s">
        <v>424</v>
      </c>
      <c r="AC28" s="131" t="s">
        <v>424</v>
      </c>
      <c r="AE28" s="131" t="s">
        <v>424</v>
      </c>
      <c r="AG28" s="136" t="s">
        <v>427</v>
      </c>
      <c r="AI28" s="136" t="s">
        <v>427</v>
      </c>
    </row>
    <row r="29" spans="1:42" ht="22.5" x14ac:dyDescent="0.25">
      <c r="A29" t="s">
        <v>132</v>
      </c>
      <c r="B29" s="80">
        <v>45573</v>
      </c>
      <c r="C29"/>
      <c r="D29"/>
      <c r="E29"/>
      <c r="F29"/>
      <c r="G29"/>
      <c r="H29"/>
      <c r="I29"/>
      <c r="J29"/>
      <c r="W29" s="136" t="s">
        <v>425</v>
      </c>
      <c r="Y29" s="136" t="s">
        <v>425</v>
      </c>
      <c r="AA29" s="136" t="s">
        <v>425</v>
      </c>
      <c r="AC29" s="136" t="s">
        <v>427</v>
      </c>
      <c r="AE29" s="136" t="s">
        <v>427</v>
      </c>
    </row>
    <row r="30" spans="1:42" ht="16.5" thickBot="1" x14ac:dyDescent="0.3">
      <c r="A30" t="s">
        <v>133</v>
      </c>
      <c r="B30" s="80">
        <v>45573</v>
      </c>
      <c r="C30"/>
      <c r="D30"/>
      <c r="E30"/>
      <c r="F30"/>
      <c r="G30"/>
      <c r="H30"/>
      <c r="I30"/>
      <c r="J30"/>
    </row>
    <row r="31" spans="1:42" x14ac:dyDescent="0.25">
      <c r="A31" t="s">
        <v>134</v>
      </c>
      <c r="B31" s="80">
        <v>45573</v>
      </c>
      <c r="C31"/>
      <c r="D31"/>
      <c r="E31"/>
      <c r="F31"/>
      <c r="G31"/>
      <c r="H31"/>
      <c r="I31"/>
      <c r="J31" s="64" t="s">
        <v>135</v>
      </c>
      <c r="K31" s="1">
        <v>1</v>
      </c>
      <c r="L31" s="122"/>
      <c r="M31" s="123" t="s">
        <v>136</v>
      </c>
      <c r="N31" s="124"/>
      <c r="O31" s="123" t="s">
        <v>137</v>
      </c>
      <c r="P31" s="124"/>
      <c r="Q31" s="123" t="s">
        <v>138</v>
      </c>
      <c r="R31" s="124"/>
      <c r="S31" s="125" t="s">
        <v>139</v>
      </c>
      <c r="T31" s="122"/>
      <c r="U31" s="123" t="s">
        <v>140</v>
      </c>
      <c r="V31" s="124"/>
      <c r="W31" s="129" t="s">
        <v>141</v>
      </c>
      <c r="X31" s="124"/>
      <c r="Y31" s="123" t="s">
        <v>142</v>
      </c>
      <c r="Z31" s="124"/>
      <c r="AA31" s="125" t="s">
        <v>143</v>
      </c>
    </row>
    <row r="32" spans="1:42" x14ac:dyDescent="0.25">
      <c r="A32" t="s">
        <v>144</v>
      </c>
      <c r="B32" s="80">
        <v>45573</v>
      </c>
      <c r="C32"/>
      <c r="D32"/>
      <c r="E32"/>
      <c r="F32"/>
      <c r="G32"/>
      <c r="H32"/>
      <c r="I32"/>
      <c r="K32" s="17">
        <v>2</v>
      </c>
      <c r="L32" s="110" t="s">
        <v>145</v>
      </c>
      <c r="M32" s="20" t="s">
        <v>146</v>
      </c>
      <c r="N32" s="46" t="s">
        <v>147</v>
      </c>
      <c r="O32" s="20" t="s">
        <v>148</v>
      </c>
      <c r="P32" s="46" t="s">
        <v>149</v>
      </c>
      <c r="Q32" s="20" t="s">
        <v>146</v>
      </c>
      <c r="R32" s="46" t="s">
        <v>150</v>
      </c>
      <c r="S32" s="107" t="s">
        <v>148</v>
      </c>
      <c r="T32" s="110" t="s">
        <v>145</v>
      </c>
      <c r="U32" s="20" t="s">
        <v>146</v>
      </c>
      <c r="V32" s="46" t="s">
        <v>147</v>
      </c>
      <c r="W32" s="20" t="s">
        <v>148</v>
      </c>
      <c r="X32" s="46" t="s">
        <v>149</v>
      </c>
      <c r="Y32" s="20" t="s">
        <v>146</v>
      </c>
      <c r="Z32" s="46" t="s">
        <v>150</v>
      </c>
      <c r="AA32" s="107" t="s">
        <v>148</v>
      </c>
    </row>
    <row r="33" spans="1:27" x14ac:dyDescent="0.25">
      <c r="A33" t="s">
        <v>151</v>
      </c>
      <c r="B33" s="80">
        <v>45666</v>
      </c>
      <c r="C33"/>
      <c r="D33"/>
      <c r="E33"/>
      <c r="F33"/>
      <c r="G33"/>
      <c r="H33"/>
      <c r="I33"/>
      <c r="K33" s="17">
        <v>3</v>
      </c>
      <c r="L33" s="111" t="s">
        <v>145</v>
      </c>
      <c r="M33" s="21" t="s">
        <v>152</v>
      </c>
      <c r="N33" s="47" t="s">
        <v>147</v>
      </c>
      <c r="O33" s="21" t="s">
        <v>153</v>
      </c>
      <c r="P33" s="47" t="s">
        <v>149</v>
      </c>
      <c r="Q33" s="21" t="s">
        <v>152</v>
      </c>
      <c r="R33" s="47" t="s">
        <v>150</v>
      </c>
      <c r="S33" s="109" t="s">
        <v>153</v>
      </c>
      <c r="T33" s="111" t="s">
        <v>145</v>
      </c>
      <c r="U33" s="21" t="s">
        <v>154</v>
      </c>
      <c r="V33" s="47" t="s">
        <v>147</v>
      </c>
      <c r="W33" s="21" t="s">
        <v>153</v>
      </c>
      <c r="X33" s="47" t="s">
        <v>149</v>
      </c>
      <c r="Y33" s="21" t="s">
        <v>154</v>
      </c>
      <c r="Z33" s="47" t="s">
        <v>150</v>
      </c>
      <c r="AA33" s="109" t="s">
        <v>153</v>
      </c>
    </row>
    <row r="34" spans="1:27" ht="15.75" customHeight="1" x14ac:dyDescent="0.25">
      <c r="A34" t="s">
        <v>155</v>
      </c>
      <c r="B34" s="80">
        <v>45573</v>
      </c>
      <c r="C34"/>
      <c r="D34"/>
      <c r="E34"/>
      <c r="F34"/>
      <c r="G34"/>
      <c r="H34"/>
      <c r="I34"/>
      <c r="K34" s="17">
        <v>4</v>
      </c>
      <c r="L34" s="111" t="s">
        <v>147</v>
      </c>
      <c r="M34" s="21" t="s">
        <v>148</v>
      </c>
      <c r="N34" s="47" t="s">
        <v>149</v>
      </c>
      <c r="O34" s="21" t="s">
        <v>146</v>
      </c>
      <c r="P34" s="47" t="s">
        <v>150</v>
      </c>
      <c r="Q34" s="21" t="s">
        <v>148</v>
      </c>
      <c r="R34" s="47" t="s">
        <v>145</v>
      </c>
      <c r="S34" s="109" t="s">
        <v>146</v>
      </c>
      <c r="T34" s="111" t="s">
        <v>147</v>
      </c>
      <c r="U34" s="21" t="s">
        <v>148</v>
      </c>
      <c r="V34" s="47" t="s">
        <v>149</v>
      </c>
      <c r="W34" s="21" t="s">
        <v>146</v>
      </c>
      <c r="X34" s="47" t="s">
        <v>150</v>
      </c>
      <c r="Y34" s="21" t="s">
        <v>148</v>
      </c>
      <c r="Z34" s="47" t="s">
        <v>145</v>
      </c>
      <c r="AA34" s="109" t="s">
        <v>146</v>
      </c>
    </row>
    <row r="35" spans="1:27" x14ac:dyDescent="0.25">
      <c r="A35" t="s">
        <v>156</v>
      </c>
      <c r="B35" s="80">
        <v>45671</v>
      </c>
      <c r="C35"/>
      <c r="D35"/>
      <c r="E35"/>
      <c r="F35"/>
      <c r="G35"/>
      <c r="H35"/>
      <c r="I35"/>
      <c r="K35" s="17">
        <v>5</v>
      </c>
      <c r="L35" s="111" t="s">
        <v>147</v>
      </c>
      <c r="M35" s="21" t="s">
        <v>153</v>
      </c>
      <c r="N35" s="47" t="s">
        <v>149</v>
      </c>
      <c r="O35" s="21" t="s">
        <v>152</v>
      </c>
      <c r="P35" s="47" t="s">
        <v>150</v>
      </c>
      <c r="Q35" s="21" t="s">
        <v>153</v>
      </c>
      <c r="R35" s="47" t="s">
        <v>145</v>
      </c>
      <c r="S35" s="109" t="s">
        <v>152</v>
      </c>
      <c r="T35" s="111" t="s">
        <v>147</v>
      </c>
      <c r="U35" s="21" t="s">
        <v>153</v>
      </c>
      <c r="V35" s="47" t="s">
        <v>149</v>
      </c>
      <c r="W35" s="21" t="s">
        <v>154</v>
      </c>
      <c r="X35" s="47" t="s">
        <v>150</v>
      </c>
      <c r="Y35" s="21" t="s">
        <v>153</v>
      </c>
      <c r="Z35" s="47" t="s">
        <v>145</v>
      </c>
      <c r="AA35" s="109" t="s">
        <v>154</v>
      </c>
    </row>
    <row r="36" spans="1:27" ht="15.75" customHeight="1" x14ac:dyDescent="0.25">
      <c r="A36" t="s">
        <v>157</v>
      </c>
      <c r="B36" s="80">
        <v>45673</v>
      </c>
      <c r="C36"/>
      <c r="D36"/>
      <c r="E36"/>
      <c r="F36"/>
      <c r="G36"/>
      <c r="H36"/>
      <c r="I36"/>
      <c r="K36" s="17">
        <v>6</v>
      </c>
      <c r="L36" s="111" t="s">
        <v>149</v>
      </c>
      <c r="M36" s="52" t="s">
        <v>158</v>
      </c>
      <c r="N36" s="47" t="s">
        <v>150</v>
      </c>
      <c r="O36" s="21" t="s">
        <v>159</v>
      </c>
      <c r="P36" s="47" t="s">
        <v>145</v>
      </c>
      <c r="Q36" s="52" t="s">
        <v>158</v>
      </c>
      <c r="R36" s="47" t="s">
        <v>147</v>
      </c>
      <c r="S36" s="109" t="s">
        <v>159</v>
      </c>
      <c r="T36" s="111" t="s">
        <v>149</v>
      </c>
      <c r="U36" s="52" t="s">
        <v>160</v>
      </c>
      <c r="V36" s="47" t="s">
        <v>150</v>
      </c>
      <c r="W36" s="21" t="s">
        <v>159</v>
      </c>
      <c r="X36" s="47" t="s">
        <v>145</v>
      </c>
      <c r="Y36" s="52" t="s">
        <v>160</v>
      </c>
      <c r="Z36" s="47" t="s">
        <v>147</v>
      </c>
      <c r="AA36" s="109" t="s">
        <v>159</v>
      </c>
    </row>
    <row r="37" spans="1:27" ht="15.75" customHeight="1" x14ac:dyDescent="0.25">
      <c r="A37" t="s">
        <v>161</v>
      </c>
      <c r="B37" s="80">
        <v>45673</v>
      </c>
      <c r="C37"/>
      <c r="D37"/>
      <c r="E37"/>
      <c r="F37"/>
      <c r="G37"/>
      <c r="H37"/>
      <c r="I37"/>
      <c r="K37" s="17">
        <v>7</v>
      </c>
      <c r="L37" s="111" t="s">
        <v>149</v>
      </c>
      <c r="M37" s="52" t="s">
        <v>162</v>
      </c>
      <c r="N37" s="47" t="s">
        <v>150</v>
      </c>
      <c r="O37" s="21" t="s">
        <v>163</v>
      </c>
      <c r="P37" s="47" t="s">
        <v>145</v>
      </c>
      <c r="Q37" s="52" t="s">
        <v>162</v>
      </c>
      <c r="R37" s="47" t="s">
        <v>147</v>
      </c>
      <c r="S37" s="109" t="s">
        <v>163</v>
      </c>
      <c r="T37" s="111" t="s">
        <v>149</v>
      </c>
      <c r="U37" s="52" t="s">
        <v>162</v>
      </c>
      <c r="V37" s="47" t="s">
        <v>150</v>
      </c>
      <c r="W37" s="21" t="s">
        <v>163</v>
      </c>
      <c r="X37" s="47" t="s">
        <v>145</v>
      </c>
      <c r="Y37" s="52" t="s">
        <v>162</v>
      </c>
      <c r="Z37" s="47" t="s">
        <v>147</v>
      </c>
      <c r="AA37" s="109" t="s">
        <v>163</v>
      </c>
    </row>
    <row r="38" spans="1:27" ht="16.5" customHeight="1" x14ac:dyDescent="0.25">
      <c r="A38" t="s">
        <v>429</v>
      </c>
      <c r="B38" s="80">
        <v>45673</v>
      </c>
      <c r="C38"/>
      <c r="D38"/>
      <c r="E38"/>
      <c r="F38"/>
      <c r="G38"/>
      <c r="H38"/>
      <c r="I38"/>
      <c r="K38" s="17">
        <v>8</v>
      </c>
      <c r="L38" s="111" t="s">
        <v>150</v>
      </c>
      <c r="M38" s="21" t="s">
        <v>159</v>
      </c>
      <c r="N38" s="47" t="s">
        <v>145</v>
      </c>
      <c r="O38" s="52" t="s">
        <v>158</v>
      </c>
      <c r="P38" s="47" t="s">
        <v>147</v>
      </c>
      <c r="Q38" s="21" t="s">
        <v>159</v>
      </c>
      <c r="R38" s="47" t="s">
        <v>149</v>
      </c>
      <c r="S38" s="126" t="s">
        <v>158</v>
      </c>
      <c r="T38" s="111" t="s">
        <v>150</v>
      </c>
      <c r="U38" s="21" t="s">
        <v>159</v>
      </c>
      <c r="V38" s="47" t="s">
        <v>145</v>
      </c>
      <c r="W38" s="52" t="s">
        <v>160</v>
      </c>
      <c r="X38" s="47" t="s">
        <v>147</v>
      </c>
      <c r="Y38" s="21" t="s">
        <v>159</v>
      </c>
      <c r="Z38" s="47" t="s">
        <v>149</v>
      </c>
      <c r="AA38" s="126" t="s">
        <v>160</v>
      </c>
    </row>
    <row r="39" spans="1:27" ht="16.5" thickBot="1" x14ac:dyDescent="0.3">
      <c r="A39"/>
      <c r="B39"/>
      <c r="C39"/>
      <c r="D39"/>
      <c r="E39"/>
      <c r="F39"/>
      <c r="G39"/>
      <c r="H39"/>
      <c r="I39"/>
      <c r="K39" s="17">
        <v>9</v>
      </c>
      <c r="L39" s="113" t="s">
        <v>150</v>
      </c>
      <c r="M39" s="114" t="s">
        <v>163</v>
      </c>
      <c r="N39" s="115" t="s">
        <v>145</v>
      </c>
      <c r="O39" s="127" t="s">
        <v>162</v>
      </c>
      <c r="P39" s="115" t="s">
        <v>147</v>
      </c>
      <c r="Q39" s="114" t="s">
        <v>163</v>
      </c>
      <c r="R39" s="115" t="s">
        <v>149</v>
      </c>
      <c r="S39" s="128" t="s">
        <v>162</v>
      </c>
      <c r="T39" s="113" t="s">
        <v>150</v>
      </c>
      <c r="U39" s="114" t="s">
        <v>163</v>
      </c>
      <c r="V39" s="115" t="s">
        <v>145</v>
      </c>
      <c r="W39" s="127" t="s">
        <v>162</v>
      </c>
      <c r="X39" s="115" t="s">
        <v>147</v>
      </c>
      <c r="Y39" s="114" t="s">
        <v>163</v>
      </c>
      <c r="Z39" s="115" t="s">
        <v>149</v>
      </c>
      <c r="AA39" s="128" t="s">
        <v>162</v>
      </c>
    </row>
    <row r="40" spans="1:27" ht="16.5" customHeight="1" x14ac:dyDescent="0.25">
      <c r="A40" s="141" t="s">
        <v>430</v>
      </c>
      <c r="B40"/>
      <c r="C40"/>
      <c r="D40"/>
      <c r="E40"/>
      <c r="F40"/>
      <c r="G40"/>
      <c r="H40"/>
      <c r="I40"/>
      <c r="J40"/>
      <c r="M40" s="40" t="s">
        <v>164</v>
      </c>
      <c r="O40" s="40" t="s">
        <v>164</v>
      </c>
      <c r="Q40" s="40" t="s">
        <v>164</v>
      </c>
      <c r="S40" s="40" t="s">
        <v>164</v>
      </c>
      <c r="U40" s="40" t="s">
        <v>164</v>
      </c>
      <c r="W40" s="40" t="s">
        <v>164</v>
      </c>
      <c r="Y40" s="40" t="s">
        <v>164</v>
      </c>
      <c r="AA40" s="40" t="s">
        <v>164</v>
      </c>
    </row>
    <row r="41" spans="1:27" ht="16.5" customHeight="1" x14ac:dyDescent="0.25">
      <c r="A41"/>
      <c r="B41"/>
      <c r="C41"/>
      <c r="D41"/>
      <c r="E41"/>
      <c r="F41"/>
      <c r="G41"/>
      <c r="H41"/>
      <c r="I41"/>
      <c r="J41"/>
    </row>
    <row r="42" spans="1:27" ht="16.5" customHeight="1" x14ac:dyDescent="0.25">
      <c r="A42"/>
      <c r="B42"/>
      <c r="C42"/>
      <c r="D42"/>
      <c r="E42"/>
      <c r="F42"/>
      <c r="G42"/>
      <c r="H42"/>
      <c r="I42"/>
      <c r="J42"/>
    </row>
    <row r="43" spans="1:27" ht="16.5" customHeight="1" x14ac:dyDescent="0.25">
      <c r="A43"/>
      <c r="B43"/>
      <c r="C43"/>
      <c r="D43"/>
      <c r="E43"/>
      <c r="F43"/>
      <c r="G43"/>
      <c r="H43"/>
      <c r="I43"/>
      <c r="J43" s="44" t="s">
        <v>165</v>
      </c>
      <c r="L43" s="36"/>
      <c r="M43" s="37" t="s">
        <v>122</v>
      </c>
      <c r="N43" s="36"/>
      <c r="O43" s="37" t="s">
        <v>127</v>
      </c>
      <c r="P43" s="36"/>
      <c r="Q43" s="37" t="s">
        <v>131</v>
      </c>
    </row>
    <row r="44" spans="1:27" ht="16.5" customHeight="1" x14ac:dyDescent="0.25">
      <c r="A44"/>
      <c r="B44"/>
      <c r="C44"/>
      <c r="D44"/>
      <c r="E44"/>
      <c r="F44"/>
      <c r="G44"/>
      <c r="H44"/>
      <c r="I44"/>
      <c r="K44" s="17">
        <v>2</v>
      </c>
      <c r="L44" s="25" t="s">
        <v>166</v>
      </c>
      <c r="M44" s="78" t="s">
        <v>167</v>
      </c>
      <c r="N44" s="25" t="s">
        <v>166</v>
      </c>
      <c r="O44" s="20" t="s">
        <v>168</v>
      </c>
      <c r="P44" s="25" t="s">
        <v>166</v>
      </c>
      <c r="Q44" s="79" t="s">
        <v>167</v>
      </c>
    </row>
    <row r="45" spans="1:27" ht="16.5" customHeight="1" x14ac:dyDescent="0.25">
      <c r="A45"/>
      <c r="B45"/>
      <c r="C45"/>
      <c r="D45"/>
      <c r="E45"/>
      <c r="F45"/>
      <c r="G45"/>
      <c r="H45"/>
      <c r="I45"/>
      <c r="J45"/>
      <c r="K45" s="17">
        <v>3</v>
      </c>
      <c r="L45" s="26" t="s">
        <v>169</v>
      </c>
      <c r="M45" s="38" t="s">
        <v>170</v>
      </c>
      <c r="N45" s="26" t="s">
        <v>169</v>
      </c>
      <c r="O45" s="21" t="s">
        <v>171</v>
      </c>
      <c r="P45" s="26" t="s">
        <v>169</v>
      </c>
      <c r="Q45" s="21" t="s">
        <v>172</v>
      </c>
    </row>
    <row r="46" spans="1:27" ht="16.5" customHeight="1" x14ac:dyDescent="0.25">
      <c r="A46"/>
      <c r="B46"/>
      <c r="C46"/>
      <c r="D46"/>
      <c r="E46"/>
      <c r="F46"/>
      <c r="G46"/>
      <c r="H46"/>
      <c r="I46"/>
      <c r="J46"/>
      <c r="K46" s="17">
        <v>4</v>
      </c>
      <c r="L46" s="26" t="s">
        <v>173</v>
      </c>
      <c r="M46" s="38" t="s">
        <v>174</v>
      </c>
      <c r="N46" s="26" t="s">
        <v>173</v>
      </c>
      <c r="O46" s="21" t="s">
        <v>175</v>
      </c>
      <c r="P46" s="26" t="s">
        <v>173</v>
      </c>
      <c r="Q46" s="21" t="s">
        <v>176</v>
      </c>
    </row>
    <row r="47" spans="1:27" ht="16.5" customHeight="1" x14ac:dyDescent="0.25">
      <c r="A47"/>
      <c r="B47"/>
      <c r="C47"/>
      <c r="D47"/>
      <c r="E47"/>
      <c r="F47"/>
      <c r="G47"/>
      <c r="H47"/>
      <c r="I47"/>
      <c r="J47"/>
      <c r="K47" s="17">
        <v>5</v>
      </c>
      <c r="L47" s="26" t="s">
        <v>177</v>
      </c>
      <c r="M47" s="38" t="s">
        <v>178</v>
      </c>
      <c r="N47" s="26" t="s">
        <v>177</v>
      </c>
      <c r="O47" s="21" t="s">
        <v>179</v>
      </c>
      <c r="P47" s="26" t="s">
        <v>177</v>
      </c>
      <c r="Q47" s="21" t="s">
        <v>180</v>
      </c>
    </row>
    <row r="48" spans="1:27" ht="16.5" customHeight="1" x14ac:dyDescent="0.25">
      <c r="A48"/>
      <c r="B48"/>
      <c r="C48"/>
      <c r="D48"/>
      <c r="E48"/>
      <c r="F48"/>
      <c r="G48"/>
      <c r="H48"/>
      <c r="I48"/>
      <c r="J48"/>
      <c r="K48" s="17">
        <v>6</v>
      </c>
      <c r="L48" s="26" t="s">
        <v>181</v>
      </c>
      <c r="M48" s="38" t="s">
        <v>179</v>
      </c>
      <c r="N48" s="26" t="s">
        <v>181</v>
      </c>
      <c r="O48" s="77" t="s">
        <v>182</v>
      </c>
      <c r="P48" s="26" t="s">
        <v>181</v>
      </c>
      <c r="Q48" s="21" t="s">
        <v>179</v>
      </c>
    </row>
    <row r="49" spans="1:27" ht="16.5" customHeight="1" x14ac:dyDescent="0.25">
      <c r="A49"/>
      <c r="B49"/>
      <c r="C49"/>
      <c r="D49"/>
      <c r="E49"/>
      <c r="F49"/>
      <c r="G49"/>
      <c r="H49"/>
      <c r="I49"/>
      <c r="J49"/>
      <c r="K49" s="17">
        <v>7</v>
      </c>
      <c r="L49" s="26" t="s">
        <v>183</v>
      </c>
      <c r="M49" s="1" t="s">
        <v>184</v>
      </c>
      <c r="N49" s="26" t="s">
        <v>183</v>
      </c>
      <c r="O49" s="21" t="s">
        <v>185</v>
      </c>
      <c r="P49" s="26" t="s">
        <v>183</v>
      </c>
      <c r="Q49" s="21" t="s">
        <v>186</v>
      </c>
    </row>
    <row r="50" spans="1:27" x14ac:dyDescent="0.25">
      <c r="A50"/>
      <c r="B50"/>
      <c r="C50"/>
      <c r="D50"/>
      <c r="E50"/>
      <c r="F50"/>
      <c r="G50"/>
      <c r="H50"/>
      <c r="I50"/>
      <c r="J50"/>
      <c r="K50" s="17">
        <v>8</v>
      </c>
      <c r="L50" s="26" t="s">
        <v>187</v>
      </c>
      <c r="M50" s="49" t="s">
        <v>188</v>
      </c>
      <c r="N50" s="26" t="s">
        <v>187</v>
      </c>
      <c r="O50" s="21" t="s">
        <v>189</v>
      </c>
      <c r="P50" s="26" t="s">
        <v>187</v>
      </c>
      <c r="Q50" s="21" t="s">
        <v>190</v>
      </c>
    </row>
    <row r="51" spans="1:27" x14ac:dyDescent="0.25">
      <c r="A51"/>
      <c r="B51"/>
      <c r="C51"/>
      <c r="D51"/>
      <c r="E51"/>
      <c r="F51"/>
      <c r="G51"/>
      <c r="H51"/>
      <c r="I51"/>
      <c r="K51" s="17">
        <v>9</v>
      </c>
      <c r="L51" s="26" t="s">
        <v>191</v>
      </c>
      <c r="M51" s="38" t="s">
        <v>192</v>
      </c>
      <c r="N51" s="26" t="s">
        <v>191</v>
      </c>
      <c r="O51" s="21" t="s">
        <v>179</v>
      </c>
      <c r="P51" s="26" t="s">
        <v>191</v>
      </c>
      <c r="Q51" s="21" t="s">
        <v>192</v>
      </c>
    </row>
    <row r="52" spans="1:27" x14ac:dyDescent="0.25">
      <c r="A52"/>
      <c r="B52"/>
      <c r="C52"/>
      <c r="D52"/>
      <c r="E52"/>
      <c r="J52"/>
      <c r="K52" s="17">
        <v>10</v>
      </c>
      <c r="L52" s="26"/>
      <c r="M52" s="1"/>
      <c r="N52" s="26" t="s">
        <v>193</v>
      </c>
      <c r="O52" s="21" t="s">
        <v>194</v>
      </c>
      <c r="P52" s="26"/>
      <c r="Q52" s="21"/>
    </row>
    <row r="53" spans="1:27" x14ac:dyDescent="0.25">
      <c r="A53"/>
      <c r="B53"/>
      <c r="C53"/>
      <c r="D53"/>
      <c r="E53"/>
      <c r="J53"/>
      <c r="K53" s="17">
        <v>11</v>
      </c>
      <c r="L53" s="26"/>
      <c r="M53" s="1"/>
      <c r="N53" s="26" t="s">
        <v>195</v>
      </c>
      <c r="O53" s="21" t="s">
        <v>196</v>
      </c>
      <c r="P53" s="26"/>
      <c r="Q53" s="21"/>
    </row>
    <row r="54" spans="1:27" x14ac:dyDescent="0.25">
      <c r="A54"/>
      <c r="B54"/>
      <c r="C54"/>
      <c r="D54"/>
      <c r="E54"/>
      <c r="J54"/>
      <c r="K54" s="17">
        <v>12</v>
      </c>
      <c r="L54" s="26"/>
      <c r="M54" s="1"/>
      <c r="N54" s="26" t="s">
        <v>197</v>
      </c>
      <c r="O54" s="21" t="s">
        <v>198</v>
      </c>
      <c r="P54" s="26"/>
      <c r="Q54" s="21"/>
    </row>
    <row r="55" spans="1:27" x14ac:dyDescent="0.25">
      <c r="A55"/>
      <c r="B55"/>
      <c r="C55"/>
      <c r="J55"/>
      <c r="K55" s="17">
        <v>13</v>
      </c>
      <c r="L55" s="26"/>
      <c r="M55" s="1"/>
      <c r="N55" s="26" t="s">
        <v>199</v>
      </c>
      <c r="O55" s="21" t="s">
        <v>431</v>
      </c>
      <c r="P55" s="26"/>
      <c r="Q55" s="21"/>
    </row>
    <row r="56" spans="1:27" x14ac:dyDescent="0.25">
      <c r="A56"/>
      <c r="B56"/>
      <c r="C56"/>
      <c r="F56"/>
      <c r="J56"/>
      <c r="K56" s="17">
        <v>14</v>
      </c>
      <c r="L56" s="26"/>
      <c r="M56" s="1"/>
      <c r="N56" s="26" t="s">
        <v>201</v>
      </c>
      <c r="O56" s="50" t="s">
        <v>192</v>
      </c>
      <c r="P56" s="26"/>
      <c r="Q56" s="21"/>
      <c r="S56" s="51"/>
      <c r="W56" s="51"/>
      <c r="Y56" s="51"/>
      <c r="AA56" s="51"/>
    </row>
    <row r="57" spans="1:27" x14ac:dyDescent="0.25">
      <c r="A57"/>
      <c r="B57"/>
      <c r="C57"/>
      <c r="F57"/>
      <c r="J57"/>
      <c r="K57" s="17">
        <v>15</v>
      </c>
      <c r="L57" s="26"/>
      <c r="M57" s="1"/>
      <c r="N57" s="26" t="s">
        <v>202</v>
      </c>
      <c r="O57" s="50" t="s">
        <v>433</v>
      </c>
      <c r="P57" s="26"/>
      <c r="Q57" s="21"/>
    </row>
    <row r="58" spans="1:27" x14ac:dyDescent="0.25">
      <c r="A58"/>
      <c r="B58"/>
      <c r="C58"/>
      <c r="F58"/>
      <c r="J58"/>
      <c r="K58" s="17">
        <v>16</v>
      </c>
      <c r="L58" s="27"/>
      <c r="M58" s="39"/>
      <c r="N58" s="27" t="s">
        <v>204</v>
      </c>
      <c r="O58" s="34"/>
      <c r="P58" s="27"/>
      <c r="Q58" s="35"/>
    </row>
    <row r="59" spans="1:27" x14ac:dyDescent="0.25">
      <c r="A59"/>
      <c r="B59"/>
      <c r="C59"/>
      <c r="F59"/>
      <c r="J59"/>
      <c r="M59" s="49" t="s">
        <v>205</v>
      </c>
      <c r="O59" s="1" t="s">
        <v>326</v>
      </c>
      <c r="Q59" s="51"/>
    </row>
    <row r="60" spans="1:27" x14ac:dyDescent="0.25">
      <c r="A60"/>
      <c r="B60"/>
      <c r="C60"/>
      <c r="J60"/>
    </row>
    <row r="61" spans="1:27" x14ac:dyDescent="0.25">
      <c r="A61"/>
      <c r="B61"/>
      <c r="C61"/>
      <c r="J61"/>
    </row>
    <row r="62" spans="1:27" x14ac:dyDescent="0.25">
      <c r="A62"/>
      <c r="B62"/>
      <c r="C62"/>
      <c r="F62"/>
      <c r="G62"/>
      <c r="H62"/>
      <c r="I62"/>
      <c r="J62"/>
      <c r="K62" s="17"/>
    </row>
    <row r="63" spans="1:27" x14ac:dyDescent="0.25">
      <c r="A63"/>
      <c r="B63"/>
      <c r="C63"/>
      <c r="D63"/>
      <c r="E63"/>
      <c r="F63"/>
      <c r="G63"/>
      <c r="H63"/>
      <c r="I63"/>
      <c r="J63"/>
    </row>
    <row r="64" spans="1:27" x14ac:dyDescent="0.25">
      <c r="A64"/>
      <c r="B64"/>
      <c r="C64"/>
      <c r="D64"/>
      <c r="E64"/>
      <c r="F64"/>
      <c r="G64"/>
      <c r="H64"/>
      <c r="I64"/>
      <c r="J64"/>
    </row>
    <row r="65" spans="1:10" x14ac:dyDescent="0.25">
      <c r="A65"/>
      <c r="B65"/>
      <c r="C65"/>
      <c r="D65"/>
      <c r="E65"/>
      <c r="F65"/>
      <c r="G65"/>
      <c r="H65"/>
      <c r="I65"/>
      <c r="J65"/>
    </row>
    <row r="66" spans="1:10" x14ac:dyDescent="0.25">
      <c r="A66"/>
      <c r="B66"/>
      <c r="C66"/>
      <c r="D66"/>
      <c r="E66"/>
      <c r="F66"/>
      <c r="G66"/>
      <c r="H66"/>
      <c r="I66"/>
      <c r="J66"/>
    </row>
    <row r="67" spans="1:10" ht="24.75" customHeight="1" x14ac:dyDescent="0.25">
      <c r="A67"/>
      <c r="B67"/>
      <c r="C67"/>
      <c r="D67"/>
      <c r="E67"/>
      <c r="F67"/>
      <c r="G67"/>
      <c r="H67"/>
      <c r="I67"/>
      <c r="J67"/>
    </row>
    <row r="68" spans="1:10" ht="22.5" customHeight="1" x14ac:dyDescent="0.25">
      <c r="A68"/>
      <c r="B68"/>
      <c r="C68"/>
      <c r="D68"/>
      <c r="E68"/>
      <c r="F68"/>
      <c r="G68"/>
      <c r="H68"/>
      <c r="I68"/>
    </row>
    <row r="69" spans="1:10" x14ac:dyDescent="0.25">
      <c r="A69"/>
      <c r="B69"/>
      <c r="C69"/>
      <c r="D69"/>
      <c r="E69"/>
      <c r="F69"/>
      <c r="G69"/>
      <c r="H69"/>
      <c r="I69"/>
    </row>
    <row r="70" spans="1:10" x14ac:dyDescent="0.25">
      <c r="A70"/>
      <c r="B70"/>
      <c r="C70"/>
      <c r="D70"/>
      <c r="E70"/>
      <c r="F70"/>
      <c r="G70"/>
      <c r="H70"/>
      <c r="I70"/>
    </row>
    <row r="71" spans="1:10" x14ac:dyDescent="0.25">
      <c r="A71"/>
      <c r="B71"/>
      <c r="C71"/>
      <c r="D71"/>
      <c r="E71"/>
      <c r="F71"/>
      <c r="G71"/>
      <c r="H71"/>
      <c r="I71"/>
    </row>
    <row r="72" spans="1:10" x14ac:dyDescent="0.25">
      <c r="A72"/>
      <c r="B72"/>
      <c r="C72"/>
      <c r="D72"/>
      <c r="E72"/>
      <c r="F72"/>
      <c r="G72"/>
      <c r="H72"/>
      <c r="I72"/>
    </row>
    <row r="73" spans="1:10" x14ac:dyDescent="0.25">
      <c r="A73"/>
      <c r="B73"/>
      <c r="C73"/>
      <c r="D73"/>
      <c r="E73"/>
      <c r="F73"/>
      <c r="G73"/>
      <c r="H73"/>
      <c r="I73"/>
    </row>
    <row r="74" spans="1:10" x14ac:dyDescent="0.25">
      <c r="A74"/>
      <c r="B74"/>
      <c r="C74"/>
      <c r="D74"/>
      <c r="E74"/>
      <c r="F74"/>
      <c r="G74"/>
      <c r="H74"/>
      <c r="I74"/>
    </row>
    <row r="75" spans="1:10" x14ac:dyDescent="0.25">
      <c r="A75"/>
      <c r="B75"/>
      <c r="C75"/>
      <c r="D75"/>
      <c r="E75"/>
      <c r="F75"/>
      <c r="G75"/>
      <c r="H75"/>
      <c r="I75"/>
    </row>
  </sheetData>
  <sortState xmlns:xlrd2="http://schemas.microsoft.com/office/spreadsheetml/2017/richdata2" ref="AE28:AE33">
    <sortCondition ref="AE28"/>
  </sortState>
  <conditionalFormatting sqref="M4:AI27 U28">
    <cfRule type="cellIs" dxfId="32" priority="14" operator="equal">
      <formula>"Spec"</formula>
    </cfRule>
  </conditionalFormatting>
  <conditionalFormatting sqref="W28">
    <cfRule type="containsText" dxfId="31" priority="12" operator="containsText" text="Spec">
      <formula>NOT(ISERROR(SEARCH("Spec",W28)))</formula>
    </cfRule>
  </conditionalFormatting>
  <conditionalFormatting sqref="W29">
    <cfRule type="cellIs" dxfId="30" priority="9" operator="equal">
      <formula>"Spec"</formula>
    </cfRule>
  </conditionalFormatting>
  <conditionalFormatting sqref="Y28">
    <cfRule type="containsText" dxfId="29" priority="11" operator="containsText" text="Spec">
      <formula>NOT(ISERROR(SEARCH("Spec",Y28)))</formula>
    </cfRule>
  </conditionalFormatting>
  <conditionalFormatting sqref="Y29">
    <cfRule type="cellIs" dxfId="28" priority="8" operator="equal">
      <formula>"Spec"</formula>
    </cfRule>
  </conditionalFormatting>
  <conditionalFormatting sqref="AA28">
    <cfRule type="containsText" dxfId="27" priority="10" operator="containsText" text="Spec">
      <formula>NOT(ISERROR(SEARCH("Spec",AA28)))</formula>
    </cfRule>
  </conditionalFormatting>
  <conditionalFormatting sqref="AA29">
    <cfRule type="cellIs" dxfId="26" priority="7" operator="equal">
      <formula>"Spec"</formula>
    </cfRule>
  </conditionalFormatting>
  <conditionalFormatting sqref="AC28">
    <cfRule type="containsText" dxfId="25" priority="6" operator="containsText" text="Spec">
      <formula>NOT(ISERROR(SEARCH("Spec",AC28)))</formula>
    </cfRule>
  </conditionalFormatting>
  <conditionalFormatting sqref="AC29">
    <cfRule type="cellIs" dxfId="24" priority="4" operator="equal">
      <formula>"Spec"</formula>
    </cfRule>
  </conditionalFormatting>
  <conditionalFormatting sqref="AE28">
    <cfRule type="containsText" dxfId="23" priority="5" operator="containsText" text="Spec">
      <formula>NOT(ISERROR(SEARCH("Spec",AE28)))</formula>
    </cfRule>
  </conditionalFormatting>
  <conditionalFormatting sqref="AE29">
    <cfRule type="cellIs" dxfId="22" priority="3" operator="equal">
      <formula>"Spec"</formula>
    </cfRule>
  </conditionalFormatting>
  <conditionalFormatting sqref="AG28">
    <cfRule type="cellIs" dxfId="21" priority="2" operator="equal">
      <formula>"Spec"</formula>
    </cfRule>
  </conditionalFormatting>
  <conditionalFormatting sqref="AI28">
    <cfRule type="cellIs" dxfId="20" priority="1" operator="equal">
      <formula>"Spec"</formula>
    </cfRule>
  </conditionalFormatting>
  <pageMargins left="0.7" right="0.7" top="0.75" bottom="0.75" header="0.3" footer="0.3"/>
  <pageSetup paperSize="9" orientation="portrait" r:id="rId1"/>
  <ignoredErrors>
    <ignoredError sqref="B24:G26" calculatedColumn="1"/>
  </ignoredErrors>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8"/>
  <sheetViews>
    <sheetView zoomScale="85" zoomScaleNormal="85" workbookViewId="0">
      <pane ySplit="2" topLeftCell="A40" activePane="bottomLeft" state="frozen"/>
      <selection activeCell="A2" sqref="A2"/>
      <selection pane="bottomLeft" activeCell="A2" sqref="A2"/>
    </sheetView>
  </sheetViews>
  <sheetFormatPr defaultRowHeight="15.75" x14ac:dyDescent="0.25"/>
  <cols>
    <col min="1" max="1" width="16.25" bestFit="1" customWidth="1"/>
    <col min="2" max="2" width="6.25" style="2" bestFit="1" customWidth="1"/>
    <col min="3" max="3" width="10.375" bestFit="1" customWidth="1"/>
    <col min="4" max="4" width="72.25" customWidth="1"/>
    <col min="5" max="5" width="9.375" style="2" bestFit="1" customWidth="1"/>
    <col min="6" max="6" width="24.25" bestFit="1" customWidth="1"/>
    <col min="7" max="10" width="6.25" bestFit="1" customWidth="1"/>
    <col min="11" max="11" width="42.5" customWidth="1"/>
    <col min="12" max="12" width="7.125" bestFit="1" customWidth="1"/>
    <col min="13" max="14" width="6.25" style="2" bestFit="1" customWidth="1"/>
    <col min="15" max="16" width="7.125" style="2" bestFit="1" customWidth="1"/>
    <col min="17" max="17" width="7.125" bestFit="1" customWidth="1"/>
    <col min="18" max="18" width="6" bestFit="1" customWidth="1"/>
    <col min="19" max="20" width="5.375" bestFit="1" customWidth="1"/>
    <col min="21" max="21" width="6.5" bestFit="1" customWidth="1"/>
    <col min="22" max="22" width="6" bestFit="1" customWidth="1"/>
    <col min="23" max="23" width="6.5" bestFit="1" customWidth="1"/>
  </cols>
  <sheetData>
    <row r="1" spans="1:18" x14ac:dyDescent="0.25">
      <c r="A1" s="70">
        <f>COLUMN()</f>
        <v>1</v>
      </c>
      <c r="B1" s="70">
        <f>COLUMN()</f>
        <v>2</v>
      </c>
      <c r="C1" s="70">
        <f>COLUMN()</f>
        <v>3</v>
      </c>
      <c r="D1" s="70">
        <f>COLUMN()</f>
        <v>4</v>
      </c>
      <c r="E1" s="70">
        <f>COLUMN()</f>
        <v>5</v>
      </c>
      <c r="F1" s="70">
        <f>COLUMN()</f>
        <v>6</v>
      </c>
      <c r="G1" s="70">
        <f>COLUMN()</f>
        <v>7</v>
      </c>
      <c r="H1" s="70">
        <f>COLUMN()</f>
        <v>8</v>
      </c>
      <c r="I1" s="70">
        <f>COLUMN()</f>
        <v>9</v>
      </c>
      <c r="J1" s="70">
        <f>COLUMN()</f>
        <v>10</v>
      </c>
      <c r="K1" s="70">
        <f>COLUMN()</f>
        <v>11</v>
      </c>
      <c r="L1" s="70">
        <f>COLUMN()</f>
        <v>12</v>
      </c>
      <c r="M1" s="70">
        <f>COLUMN()</f>
        <v>13</v>
      </c>
      <c r="N1" s="70">
        <f>COLUMN()</f>
        <v>14</v>
      </c>
      <c r="O1" s="70">
        <f>COLUMN()</f>
        <v>15</v>
      </c>
      <c r="P1" s="70">
        <f>COLUMN()</f>
        <v>16</v>
      </c>
      <c r="Q1" s="70">
        <f>COLUMN()</f>
        <v>17</v>
      </c>
    </row>
    <row r="2" spans="1:18" ht="78" x14ac:dyDescent="0.25">
      <c r="A2" s="74" t="s">
        <v>0</v>
      </c>
      <c r="B2" s="74" t="s">
        <v>1</v>
      </c>
      <c r="C2" s="74" t="s">
        <v>2</v>
      </c>
      <c r="D2" s="74" t="s">
        <v>206</v>
      </c>
      <c r="E2" s="74" t="s">
        <v>6</v>
      </c>
      <c r="F2" s="74" t="s">
        <v>207</v>
      </c>
      <c r="G2" s="59" t="s">
        <v>29</v>
      </c>
      <c r="H2" s="59" t="s">
        <v>30</v>
      </c>
      <c r="I2" s="59" t="s">
        <v>31</v>
      </c>
      <c r="J2" s="59" t="s">
        <v>32</v>
      </c>
      <c r="K2" s="74" t="s">
        <v>208</v>
      </c>
      <c r="L2" s="59" t="s">
        <v>70</v>
      </c>
      <c r="M2" s="59" t="s">
        <v>102</v>
      </c>
      <c r="N2" s="59" t="s">
        <v>106</v>
      </c>
      <c r="O2" s="59" t="s">
        <v>122</v>
      </c>
      <c r="P2" s="59" t="s">
        <v>127</v>
      </c>
      <c r="Q2" s="59" t="s">
        <v>131</v>
      </c>
      <c r="R2" s="3"/>
    </row>
    <row r="3" spans="1:18" x14ac:dyDescent="0.25">
      <c r="A3" t="s">
        <v>162</v>
      </c>
      <c r="C3" s="2"/>
      <c r="D3" s="75" t="s">
        <v>209</v>
      </c>
      <c r="F3" s="71"/>
      <c r="G3" s="72" t="str">
        <f>IFERROR(IF(VLOOKUP(TableHandbook[[#This Row],[UDC]],TableAvailabilities[],2,FALSE)&gt;0,"Y",""),"")</f>
        <v/>
      </c>
      <c r="H3" s="72" t="str">
        <f>IFERROR(IF(VLOOKUP(TableHandbook[[#This Row],[UDC]],TableAvailabilities[],3,FALSE)&gt;0,"Y",""),"")</f>
        <v/>
      </c>
      <c r="I3" s="72" t="str">
        <f>IFERROR(IF(VLOOKUP(TableHandbook[[#This Row],[UDC]],TableAvailabilities[],4,FALSE)&gt;0,"Y",""),"")</f>
        <v/>
      </c>
      <c r="J3" s="72" t="str">
        <f>IFERROR(IF(VLOOKUP(TableHandbook[[#This Row],[UDC]],TableAvailabilities[],5,FALSE)&gt;0,"Y",""),"")</f>
        <v/>
      </c>
      <c r="K3" s="75"/>
      <c r="L3" s="73" t="str">
        <f>IFERROR(VLOOKUP(TableHandbook[[#This Row],[UDC]],TableOBCONMN[],7,FALSE),"")</f>
        <v/>
      </c>
      <c r="M3" s="73" t="str">
        <f>IFERROR(VLOOKUP(TableHandbook[[#This Row],[UDC]],TableOUSHCONMN[],7,FALSE),"")</f>
        <v/>
      </c>
      <c r="N3" s="73" t="str">
        <f>IFERROR(VLOOKUP(TableHandbook[[#This Row],[UDC]],TableOUSUCONMN[],7,FALSE),"")</f>
        <v/>
      </c>
      <c r="O3" s="73" t="str">
        <f>IFERROR(VLOOKUP(TableHandbook[[#This Row],[UDC]],TableOSCUANGAD[],7,FALSE),"")</f>
        <v/>
      </c>
      <c r="P3" s="73" t="str">
        <f>IFERROR(VLOOKUP(TableHandbook[[#This Row],[UDC]],TableOSCUINARS[],7,FALSE),"")</f>
        <v/>
      </c>
      <c r="Q3" s="73" t="str">
        <f>IFERROR(VLOOKUP(TableHandbook[[#This Row],[UDC]],TableOSCUPLGEO[],7,FALSE),"")</f>
        <v/>
      </c>
      <c r="R3" s="3"/>
    </row>
    <row r="4" spans="1:18" x14ac:dyDescent="0.25">
      <c r="A4" t="s">
        <v>210</v>
      </c>
      <c r="C4" s="2"/>
      <c r="D4" s="75" t="s">
        <v>211</v>
      </c>
      <c r="F4" s="71"/>
      <c r="G4" s="72" t="str">
        <f>IFERROR(IF(VLOOKUP(TableHandbook[[#This Row],[UDC]],TableAvailabilities[],2,FALSE)&gt;0,"Y",""),"")</f>
        <v/>
      </c>
      <c r="H4" s="72" t="str">
        <f>IFERROR(IF(VLOOKUP(TableHandbook[[#This Row],[UDC]],TableAvailabilities[],3,FALSE)&gt;0,"Y",""),"")</f>
        <v/>
      </c>
      <c r="I4" s="72" t="str">
        <f>IFERROR(IF(VLOOKUP(TableHandbook[[#This Row],[UDC]],TableAvailabilities[],4,FALSE)&gt;0,"Y",""),"")</f>
        <v/>
      </c>
      <c r="J4" s="72" t="str">
        <f>IFERROR(IF(VLOOKUP(TableHandbook[[#This Row],[UDC]],TableAvailabilities[],5,FALSE)&gt;0,"Y",""),"")</f>
        <v/>
      </c>
      <c r="K4" s="75"/>
      <c r="L4" s="73" t="str">
        <f>IFERROR(VLOOKUP(TableHandbook[[#This Row],[UDC]],TableOBCONMN[],7,FALSE),"")</f>
        <v/>
      </c>
      <c r="M4" s="73" t="str">
        <f>IFERROR(VLOOKUP(TableHandbook[[#This Row],[UDC]],TableOUSHCONMN[],7,FALSE),"")</f>
        <v/>
      </c>
      <c r="N4" s="73" t="str">
        <f>IFERROR(VLOOKUP(TableHandbook[[#This Row],[UDC]],TableOUSUCONMN[],7,FALSE),"")</f>
        <v/>
      </c>
      <c r="O4" s="73" t="str">
        <f>IFERROR(VLOOKUP(TableHandbook[[#This Row],[UDC]],TableOSCUANGAD[],7,FALSE),"")</f>
        <v/>
      </c>
      <c r="P4" s="73" t="str">
        <f>IFERROR(VLOOKUP(TableHandbook[[#This Row],[UDC]],TableOSCUINARS[],7,FALSE),"")</f>
        <v/>
      </c>
      <c r="Q4" s="73" t="str">
        <f>IFERROR(VLOOKUP(TableHandbook[[#This Row],[UDC]],TableOSCUPLGEO[],7,FALSE),"")</f>
        <v/>
      </c>
    </row>
    <row r="5" spans="1:18" x14ac:dyDescent="0.25">
      <c r="A5" s="76" t="s">
        <v>182</v>
      </c>
      <c r="C5" s="2"/>
      <c r="D5" s="75" t="s">
        <v>212</v>
      </c>
      <c r="E5" s="2">
        <v>50</v>
      </c>
      <c r="F5" s="71"/>
      <c r="G5" s="72" t="str">
        <f>IFERROR(IF(VLOOKUP(TableHandbook[[#This Row],[UDC]],TableAvailabilities[],2,FALSE)&gt;0,"Y",""),"")</f>
        <v/>
      </c>
      <c r="H5" s="72" t="str">
        <f>IFERROR(IF(VLOOKUP(TableHandbook[[#This Row],[UDC]],TableAvailabilities[],3,FALSE)&gt;0,"Y",""),"")</f>
        <v/>
      </c>
      <c r="I5" s="72" t="str">
        <f>IFERROR(IF(VLOOKUP(TableHandbook[[#This Row],[UDC]],TableAvailabilities[],4,FALSE)&gt;0,"Y",""),"")</f>
        <v/>
      </c>
      <c r="J5" s="72" t="str">
        <f>IFERROR(IF(VLOOKUP(TableHandbook[[#This Row],[UDC]],TableAvailabilities[],5,FALSE)&gt;0,"Y",""),"")</f>
        <v/>
      </c>
      <c r="K5" s="75" t="s">
        <v>213</v>
      </c>
      <c r="L5" s="73" t="str">
        <f>IFERROR(VLOOKUP(TableHandbook[[#This Row],[UDC]],TableOBCONMN[],7,FALSE),"")</f>
        <v/>
      </c>
      <c r="M5" s="73" t="str">
        <f>IFERROR(VLOOKUP(TableHandbook[[#This Row],[UDC]],TableOUSHCONMN[],7,FALSE),"")</f>
        <v/>
      </c>
      <c r="N5" s="73" t="str">
        <f>IFERROR(VLOOKUP(TableHandbook[[#This Row],[UDC]],TableOUSUCONMN[],7,FALSE),"")</f>
        <v/>
      </c>
      <c r="O5" s="73" t="str">
        <f>IFERROR(VLOOKUP(TableHandbook[[#This Row],[UDC]],TableOSCUANGAD[],7,FALSE),"")</f>
        <v/>
      </c>
      <c r="P5" s="73" t="str">
        <f>IFERROR(VLOOKUP(TableHandbook[[#This Row],[UDC]],TableOSCUINARS[],7,FALSE),"")</f>
        <v/>
      </c>
      <c r="Q5" s="73" t="str">
        <f>IFERROR(VLOOKUP(TableHandbook[[#This Row],[UDC]],TableOSCUPLGEO[],7,FALSE),"")</f>
        <v/>
      </c>
    </row>
    <row r="6" spans="1:18" x14ac:dyDescent="0.25">
      <c r="A6" s="76" t="s">
        <v>167</v>
      </c>
      <c r="C6" s="2"/>
      <c r="D6" s="75" t="s">
        <v>214</v>
      </c>
      <c r="E6" s="2">
        <v>75</v>
      </c>
      <c r="F6" s="71"/>
      <c r="G6" s="72" t="str">
        <f>IFERROR(IF(VLOOKUP(TableHandbook[[#This Row],[UDC]],TableAvailabilities[],2,FALSE)&gt;0,"Y",""),"")</f>
        <v/>
      </c>
      <c r="H6" s="72" t="str">
        <f>IFERROR(IF(VLOOKUP(TableHandbook[[#This Row],[UDC]],TableAvailabilities[],3,FALSE)&gt;0,"Y",""),"")</f>
        <v/>
      </c>
      <c r="I6" s="72" t="str">
        <f>IFERROR(IF(VLOOKUP(TableHandbook[[#This Row],[UDC]],TableAvailabilities[],4,FALSE)&gt;0,"Y",""),"")</f>
        <v/>
      </c>
      <c r="J6" s="72" t="str">
        <f>IFERROR(IF(VLOOKUP(TableHandbook[[#This Row],[UDC]],TableAvailabilities[],5,FALSE)&gt;0,"Y",""),"")</f>
        <v/>
      </c>
      <c r="K6" s="75" t="s">
        <v>213</v>
      </c>
      <c r="L6" s="73" t="str">
        <f>IFERROR(VLOOKUP(TableHandbook[[#This Row],[UDC]],TableOBCONMN[],7,FALSE),"")</f>
        <v/>
      </c>
      <c r="M6" s="73" t="str">
        <f>IFERROR(VLOOKUP(TableHandbook[[#This Row],[UDC]],TableOUSHCONMN[],7,FALSE),"")</f>
        <v/>
      </c>
      <c r="N6" s="73" t="str">
        <f>IFERROR(VLOOKUP(TableHandbook[[#This Row],[UDC]],TableOUSUCONMN[],7,FALSE),"")</f>
        <v/>
      </c>
      <c r="O6" s="73" t="str">
        <f>IFERROR(VLOOKUP(TableHandbook[[#This Row],[UDC]],TableOSCUANGAD[],7,FALSE),"")</f>
        <v/>
      </c>
      <c r="P6" s="73" t="str">
        <f>IFERROR(VLOOKUP(TableHandbook[[#This Row],[UDC]],TableOSCUINARS[],7,FALSE),"")</f>
        <v/>
      </c>
      <c r="Q6" s="73" t="str">
        <f>IFERROR(VLOOKUP(TableHandbook[[#This Row],[UDC]],TableOSCUPLGEO[],7,FALSE),"")</f>
        <v/>
      </c>
    </row>
    <row r="7" spans="1:18" ht="31.5" x14ac:dyDescent="0.25">
      <c r="A7" t="s">
        <v>215</v>
      </c>
      <c r="C7" s="2"/>
      <c r="D7" s="75" t="s">
        <v>216</v>
      </c>
      <c r="E7" s="2">
        <v>200</v>
      </c>
      <c r="F7" s="71"/>
      <c r="G7" s="72" t="str">
        <f>IFERROR(IF(VLOOKUP(TableHandbook[[#This Row],[UDC]],TableAvailabilities[],2,FALSE)&gt;0,"Y",""),"")</f>
        <v/>
      </c>
      <c r="H7" s="72" t="str">
        <f>IFERROR(IF(VLOOKUP(TableHandbook[[#This Row],[UDC]],TableAvailabilities[],3,FALSE)&gt;0,"Y",""),"")</f>
        <v/>
      </c>
      <c r="I7" s="72" t="str">
        <f>IFERROR(IF(VLOOKUP(TableHandbook[[#This Row],[UDC]],TableAvailabilities[],4,FALSE)&gt;0,"Y",""),"")</f>
        <v/>
      </c>
      <c r="J7" s="72" t="str">
        <f>IFERROR(IF(VLOOKUP(TableHandbook[[#This Row],[UDC]],TableAvailabilities[],5,FALSE)&gt;0,"Y",""),"")</f>
        <v/>
      </c>
      <c r="K7" s="75"/>
      <c r="L7" s="73" t="str">
        <f>IFERROR(VLOOKUP(TableHandbook[[#This Row],[UDC]],TableOBCONMN[],7,FALSE),"")</f>
        <v>AltCore</v>
      </c>
      <c r="M7" s="73" t="str">
        <f>IFERROR(VLOOKUP(TableHandbook[[#This Row],[UDC]],TableOUSHCONMN[],7,FALSE),"")</f>
        <v/>
      </c>
      <c r="N7" s="73" t="str">
        <f>IFERROR(VLOOKUP(TableHandbook[[#This Row],[UDC]],TableOUSUCONMN[],7,FALSE),"")</f>
        <v/>
      </c>
      <c r="O7" s="73" t="str">
        <f>IFERROR(VLOOKUP(TableHandbook[[#This Row],[UDC]],TableOSCUANGAD[],7,FALSE),"")</f>
        <v/>
      </c>
      <c r="P7" s="73" t="str">
        <f>IFERROR(VLOOKUP(TableHandbook[[#This Row],[UDC]],TableOSCUINARS[],7,FALSE),"")</f>
        <v/>
      </c>
      <c r="Q7" s="73" t="str">
        <f>IFERROR(VLOOKUP(TableHandbook[[#This Row],[UDC]],TableOSCUPLGEO[],7,FALSE),"")</f>
        <v/>
      </c>
    </row>
    <row r="8" spans="1:18" x14ac:dyDescent="0.25">
      <c r="A8" t="s">
        <v>184</v>
      </c>
      <c r="C8" s="2"/>
      <c r="D8" s="75" t="s">
        <v>217</v>
      </c>
      <c r="E8" s="2">
        <v>25</v>
      </c>
      <c r="F8" s="71"/>
      <c r="G8" s="72" t="str">
        <f>IFERROR(IF(VLOOKUP(TableHandbook[[#This Row],[UDC]],TableAvailabilities[],2,FALSE)&gt;0,"Y",""),"")</f>
        <v/>
      </c>
      <c r="H8" s="72" t="str">
        <f>IFERROR(IF(VLOOKUP(TableHandbook[[#This Row],[UDC]],TableAvailabilities[],3,FALSE)&gt;0,"Y",""),"")</f>
        <v/>
      </c>
      <c r="I8" s="72" t="str">
        <f>IFERROR(IF(VLOOKUP(TableHandbook[[#This Row],[UDC]],TableAvailabilities[],4,FALSE)&gt;0,"Y",""),"")</f>
        <v/>
      </c>
      <c r="J8" s="72" t="str">
        <f>IFERROR(IF(VLOOKUP(TableHandbook[[#This Row],[UDC]],TableAvailabilities[],5,FALSE)&gt;0,"Y",""),"")</f>
        <v/>
      </c>
      <c r="K8" s="75"/>
      <c r="L8" s="73" t="str">
        <f>IFERROR(VLOOKUP(TableHandbook[[#This Row],[UDC]],TableOBCONMN[],7,FALSE),"")</f>
        <v/>
      </c>
      <c r="M8" s="73" t="str">
        <f>IFERROR(VLOOKUP(TableHandbook[[#This Row],[UDC]],TableOUSHCONMN[],7,FALSE),"")</f>
        <v/>
      </c>
      <c r="N8" s="73" t="str">
        <f>IFERROR(VLOOKUP(TableHandbook[[#This Row],[UDC]],TableOUSUCONMN[],7,FALSE),"")</f>
        <v/>
      </c>
      <c r="O8" s="73" t="str">
        <f>IFERROR(VLOOKUP(TableHandbook[[#This Row],[UDC]],TableOSCUANGAD[],7,FALSE),"")</f>
        <v>AltCore</v>
      </c>
      <c r="P8" s="73" t="str">
        <f>IFERROR(VLOOKUP(TableHandbook[[#This Row],[UDC]],TableOSCUINARS[],7,FALSE),"")</f>
        <v/>
      </c>
      <c r="Q8" s="73" t="str">
        <f>IFERROR(VLOOKUP(TableHandbook[[#This Row],[UDC]],TableOSCUPLGEO[],7,FALSE),"")</f>
        <v/>
      </c>
    </row>
    <row r="9" spans="1:18" x14ac:dyDescent="0.25">
      <c r="A9" t="s">
        <v>168</v>
      </c>
      <c r="C9" s="2"/>
      <c r="D9" s="75" t="s">
        <v>218</v>
      </c>
      <c r="E9" s="2">
        <v>25</v>
      </c>
      <c r="F9" s="71"/>
      <c r="G9" s="72" t="str">
        <f>IFERROR(IF(VLOOKUP(TableHandbook[[#This Row],[UDC]],TableAvailabilities[],2,FALSE)&gt;0,"Y",""),"")</f>
        <v/>
      </c>
      <c r="H9" s="72" t="str">
        <f>IFERROR(IF(VLOOKUP(TableHandbook[[#This Row],[UDC]],TableAvailabilities[],3,FALSE)&gt;0,"Y",""),"")</f>
        <v/>
      </c>
      <c r="I9" s="72" t="str">
        <f>IFERROR(IF(VLOOKUP(TableHandbook[[#This Row],[UDC]],TableAvailabilities[],4,FALSE)&gt;0,"Y",""),"")</f>
        <v/>
      </c>
      <c r="J9" s="72" t="str">
        <f>IFERROR(IF(VLOOKUP(TableHandbook[[#This Row],[UDC]],TableAvailabilities[],5,FALSE)&gt;0,"Y",""),"")</f>
        <v/>
      </c>
      <c r="K9" s="75"/>
      <c r="L9" s="73" t="str">
        <f>IFERROR(VLOOKUP(TableHandbook[[#This Row],[UDC]],TableOBCONMN[],7,FALSE),"")</f>
        <v/>
      </c>
      <c r="M9" s="73" t="str">
        <f>IFERROR(VLOOKUP(TableHandbook[[#This Row],[UDC]],TableOUSHCONMN[],7,FALSE),"")</f>
        <v/>
      </c>
      <c r="N9" s="73" t="str">
        <f>IFERROR(VLOOKUP(TableHandbook[[#This Row],[UDC]],TableOUSUCONMN[],7,FALSE),"")</f>
        <v/>
      </c>
      <c r="O9" s="73" t="str">
        <f>IFERROR(VLOOKUP(TableHandbook[[#This Row],[UDC]],TableOSCUANGAD[],7,FALSE),"")</f>
        <v/>
      </c>
      <c r="P9" s="73" t="str">
        <f>IFERROR(VLOOKUP(TableHandbook[[#This Row],[UDC]],TableOSCUINARS[],7,FALSE),"")</f>
        <v>AltCore</v>
      </c>
      <c r="Q9" s="73" t="str">
        <f>IFERROR(VLOOKUP(TableHandbook[[#This Row],[UDC]],TableOSCUPLGEO[],7,FALSE),"")</f>
        <v/>
      </c>
    </row>
    <row r="10" spans="1:18" x14ac:dyDescent="0.25">
      <c r="A10" t="s">
        <v>186</v>
      </c>
      <c r="C10" s="2"/>
      <c r="D10" s="75" t="s">
        <v>219</v>
      </c>
      <c r="E10" s="2">
        <v>25</v>
      </c>
      <c r="F10" s="71"/>
      <c r="G10" s="72" t="str">
        <f>IFERROR(IF(VLOOKUP(TableHandbook[[#This Row],[UDC]],TableAvailabilities[],2,FALSE)&gt;0,"Y",""),"")</f>
        <v/>
      </c>
      <c r="H10" s="72" t="str">
        <f>IFERROR(IF(VLOOKUP(TableHandbook[[#This Row],[UDC]],TableAvailabilities[],3,FALSE)&gt;0,"Y",""),"")</f>
        <v/>
      </c>
      <c r="I10" s="72" t="str">
        <f>IFERROR(IF(VLOOKUP(TableHandbook[[#This Row],[UDC]],TableAvailabilities[],4,FALSE)&gt;0,"Y",""),"")</f>
        <v/>
      </c>
      <c r="J10" s="72" t="str">
        <f>IFERROR(IF(VLOOKUP(TableHandbook[[#This Row],[UDC]],TableAvailabilities[],5,FALSE)&gt;0,"Y",""),"")</f>
        <v/>
      </c>
      <c r="K10" s="75"/>
      <c r="L10" s="73" t="str">
        <f>IFERROR(VLOOKUP(TableHandbook[[#This Row],[UDC]],TableOBCONMN[],7,FALSE),"")</f>
        <v/>
      </c>
      <c r="M10" s="73" t="str">
        <f>IFERROR(VLOOKUP(TableHandbook[[#This Row],[UDC]],TableOUSHCONMN[],7,FALSE),"")</f>
        <v/>
      </c>
      <c r="N10" s="73" t="str">
        <f>IFERROR(VLOOKUP(TableHandbook[[#This Row],[UDC]],TableOUSUCONMN[],7,FALSE),"")</f>
        <v/>
      </c>
      <c r="O10" s="73" t="str">
        <f>IFERROR(VLOOKUP(TableHandbook[[#This Row],[UDC]],TableOSCUANGAD[],7,FALSE),"")</f>
        <v/>
      </c>
      <c r="P10" s="73" t="str">
        <f>IFERROR(VLOOKUP(TableHandbook[[#This Row],[UDC]],TableOSCUINARS[],7,FALSE),"")</f>
        <v/>
      </c>
      <c r="Q10" s="73" t="str">
        <f>IFERROR(VLOOKUP(TableHandbook[[#This Row],[UDC]],TableOSCUPLGEO[],7,FALSE),"")</f>
        <v>AltCore</v>
      </c>
    </row>
    <row r="11" spans="1:18" x14ac:dyDescent="0.25">
      <c r="A11" t="s">
        <v>77</v>
      </c>
      <c r="B11" s="2">
        <v>3</v>
      </c>
      <c r="C11" s="2" t="s">
        <v>220</v>
      </c>
      <c r="D11" s="75" t="s">
        <v>221</v>
      </c>
      <c r="E11" s="2">
        <v>25</v>
      </c>
      <c r="F11" s="71" t="s">
        <v>222</v>
      </c>
      <c r="G11" s="72" t="str">
        <f>IFERROR(IF(VLOOKUP(TableHandbook[[#This Row],[UDC]],TableAvailabilities[],2,FALSE)&gt;0,"Y",""),"")</f>
        <v/>
      </c>
      <c r="H11" s="72" t="str">
        <f>IFERROR(IF(VLOOKUP(TableHandbook[[#This Row],[UDC]],TableAvailabilities[],3,FALSE)&gt;0,"Y",""),"")</f>
        <v>Y</v>
      </c>
      <c r="I11" s="72" t="str">
        <f>IFERROR(IF(VLOOKUP(TableHandbook[[#This Row],[UDC]],TableAvailabilities[],4,FALSE)&gt;0,"Y",""),"")</f>
        <v/>
      </c>
      <c r="J11" s="72" t="str">
        <f>IFERROR(IF(VLOOKUP(TableHandbook[[#This Row],[UDC]],TableAvailabilities[],5,FALSE)&gt;0,"Y",""),"")</f>
        <v>Y</v>
      </c>
      <c r="K11" s="75"/>
      <c r="L11" s="73" t="str">
        <f>IFERROR(VLOOKUP(TableHandbook[[#This Row],[UDC]],TableOBCONMN[],7,FALSE),"")</f>
        <v>Core</v>
      </c>
      <c r="M11" s="73" t="str">
        <f>IFERROR(VLOOKUP(TableHandbook[[#This Row],[UDC]],TableOUSHCONMN[],7,FALSE),"")</f>
        <v/>
      </c>
      <c r="N11" s="73" t="str">
        <f>IFERROR(VLOOKUP(TableHandbook[[#This Row],[UDC]],TableOUSUCONMN[],7,FALSE),"")</f>
        <v/>
      </c>
      <c r="O11" s="73" t="str">
        <f>IFERROR(VLOOKUP(TableHandbook[[#This Row],[UDC]],TableOSCUANGAD[],7,FALSE),"")</f>
        <v/>
      </c>
      <c r="P11" s="73" t="str">
        <f>IFERROR(VLOOKUP(TableHandbook[[#This Row],[UDC]],TableOSCUINARS[],7,FALSE),"")</f>
        <v/>
      </c>
      <c r="Q11" s="73" t="str">
        <f>IFERROR(VLOOKUP(TableHandbook[[#This Row],[UDC]],TableOSCUPLGEO[],7,FALSE),"")</f>
        <v/>
      </c>
    </row>
    <row r="12" spans="1:18" x14ac:dyDescent="0.25">
      <c r="A12" t="s">
        <v>61</v>
      </c>
      <c r="B12" s="2">
        <v>2</v>
      </c>
      <c r="C12" s="2" t="s">
        <v>223</v>
      </c>
      <c r="D12" s="75" t="s">
        <v>224</v>
      </c>
      <c r="E12" s="2">
        <v>25</v>
      </c>
      <c r="F12" s="71" t="s">
        <v>222</v>
      </c>
      <c r="G12" s="72" t="str">
        <f>IFERROR(IF(VLOOKUP(TableHandbook[[#This Row],[UDC]],TableAvailabilities[],2,FALSE)&gt;0,"Y",""),"")</f>
        <v>Y</v>
      </c>
      <c r="H12" s="72" t="str">
        <f>IFERROR(IF(VLOOKUP(TableHandbook[[#This Row],[UDC]],TableAvailabilities[],3,FALSE)&gt;0,"Y",""),"")</f>
        <v/>
      </c>
      <c r="I12" s="72" t="str">
        <f>IFERROR(IF(VLOOKUP(TableHandbook[[#This Row],[UDC]],TableAvailabilities[],4,FALSE)&gt;0,"Y",""),"")</f>
        <v>Y</v>
      </c>
      <c r="J12" s="72" t="str">
        <f>IFERROR(IF(VLOOKUP(TableHandbook[[#This Row],[UDC]],TableAvailabilities[],5,FALSE)&gt;0,"Y",""),"")</f>
        <v/>
      </c>
      <c r="K12" s="75"/>
      <c r="L12" s="73" t="str">
        <f>IFERROR(VLOOKUP(TableHandbook[[#This Row],[UDC]],TableOBCONMN[],7,FALSE),"")</f>
        <v>Core</v>
      </c>
      <c r="M12" s="73" t="str">
        <f>IFERROR(VLOOKUP(TableHandbook[[#This Row],[UDC]],TableOUSHCONMN[],7,FALSE),"")</f>
        <v/>
      </c>
      <c r="N12" s="73" t="str">
        <f>IFERROR(VLOOKUP(TableHandbook[[#This Row],[UDC]],TableOUSUCONMN[],7,FALSE),"")</f>
        <v/>
      </c>
      <c r="O12" s="73" t="str">
        <f>IFERROR(VLOOKUP(TableHandbook[[#This Row],[UDC]],TableOSCUANGAD[],7,FALSE),"")</f>
        <v/>
      </c>
      <c r="P12" s="73" t="str">
        <f>IFERROR(VLOOKUP(TableHandbook[[#This Row],[UDC]],TableOSCUINARS[],7,FALSE),"")</f>
        <v/>
      </c>
      <c r="Q12" s="73" t="str">
        <f>IFERROR(VLOOKUP(TableHandbook[[#This Row],[UDC]],TableOSCUPLGEO[],7,FALSE),"")</f>
        <v/>
      </c>
    </row>
    <row r="13" spans="1:18" x14ac:dyDescent="0.25">
      <c r="A13" t="s">
        <v>78</v>
      </c>
      <c r="B13" s="2">
        <v>3</v>
      </c>
      <c r="C13" s="2" t="s">
        <v>225</v>
      </c>
      <c r="D13" s="75" t="s">
        <v>226</v>
      </c>
      <c r="E13" s="2">
        <v>25</v>
      </c>
      <c r="F13" s="95" t="s">
        <v>223</v>
      </c>
      <c r="G13" s="72" t="str">
        <f>IFERROR(IF(VLOOKUP(TableHandbook[[#This Row],[UDC]],TableAvailabilities[],2,FALSE)&gt;0,"Y",""),"")</f>
        <v>Y</v>
      </c>
      <c r="H13" s="72" t="str">
        <f>IFERROR(IF(VLOOKUP(TableHandbook[[#This Row],[UDC]],TableAvailabilities[],3,FALSE)&gt;0,"Y",""),"")</f>
        <v/>
      </c>
      <c r="I13" s="72" t="str">
        <f>IFERROR(IF(VLOOKUP(TableHandbook[[#This Row],[UDC]],TableAvailabilities[],4,FALSE)&gt;0,"Y",""),"")</f>
        <v>Y</v>
      </c>
      <c r="J13" s="72" t="str">
        <f>IFERROR(IF(VLOOKUP(TableHandbook[[#This Row],[UDC]],TableAvailabilities[],5,FALSE)&gt;0,"Y",""),"")</f>
        <v/>
      </c>
      <c r="K13" s="75"/>
      <c r="L13" s="73" t="str">
        <f>IFERROR(VLOOKUP(TableHandbook[[#This Row],[UDC]],TableOBCONMN[],7,FALSE),"")</f>
        <v>Core</v>
      </c>
      <c r="M13" s="73" t="str">
        <f>IFERROR(VLOOKUP(TableHandbook[[#This Row],[UDC]],TableOUSHCONMN[],7,FALSE),"")</f>
        <v/>
      </c>
      <c r="N13" s="73" t="str">
        <f>IFERROR(VLOOKUP(TableHandbook[[#This Row],[UDC]],TableOUSUCONMN[],7,FALSE),"")</f>
        <v/>
      </c>
      <c r="O13" s="73" t="str">
        <f>IFERROR(VLOOKUP(TableHandbook[[#This Row],[UDC]],TableOSCUANGAD[],7,FALSE),"")</f>
        <v/>
      </c>
      <c r="P13" s="73" t="str">
        <f>IFERROR(VLOOKUP(TableHandbook[[#This Row],[UDC]],TableOSCUINARS[],7,FALSE),"")</f>
        <v/>
      </c>
      <c r="Q13" s="73" t="str">
        <f>IFERROR(VLOOKUP(TableHandbook[[#This Row],[UDC]],TableOSCUPLGEO[],7,FALSE),"")</f>
        <v/>
      </c>
    </row>
    <row r="14" spans="1:18" x14ac:dyDescent="0.25">
      <c r="A14" t="s">
        <v>79</v>
      </c>
      <c r="B14" s="2">
        <v>1</v>
      </c>
      <c r="C14" s="2" t="s">
        <v>227</v>
      </c>
      <c r="D14" s="75" t="s">
        <v>228</v>
      </c>
      <c r="E14" s="2">
        <v>25</v>
      </c>
      <c r="F14" s="71" t="s">
        <v>222</v>
      </c>
      <c r="G14" s="72" t="str">
        <f>IFERROR(IF(VLOOKUP(TableHandbook[[#This Row],[UDC]],TableAvailabilities[],2,FALSE)&gt;0,"Y",""),"")</f>
        <v/>
      </c>
      <c r="H14" s="72" t="str">
        <f>IFERROR(IF(VLOOKUP(TableHandbook[[#This Row],[UDC]],TableAvailabilities[],3,FALSE)&gt;0,"Y",""),"")</f>
        <v>Y</v>
      </c>
      <c r="I14" s="72" t="str">
        <f>IFERROR(IF(VLOOKUP(TableHandbook[[#This Row],[UDC]],TableAvailabilities[],4,FALSE)&gt;0,"Y",""),"")</f>
        <v/>
      </c>
      <c r="J14" s="72" t="str">
        <f>IFERROR(IF(VLOOKUP(TableHandbook[[#This Row],[UDC]],TableAvailabilities[],5,FALSE)&gt;0,"Y",""),"")</f>
        <v>Y</v>
      </c>
      <c r="K14" s="75"/>
      <c r="L14" s="73" t="str">
        <f>IFERROR(VLOOKUP(TableHandbook[[#This Row],[UDC]],TableOBCONMN[],7,FALSE),"")</f>
        <v>Core</v>
      </c>
      <c r="M14" s="73" t="str">
        <f>IFERROR(VLOOKUP(TableHandbook[[#This Row],[UDC]],TableOUSHCONMN[],7,FALSE),"")</f>
        <v/>
      </c>
      <c r="N14" s="73" t="str">
        <f>IFERROR(VLOOKUP(TableHandbook[[#This Row],[UDC]],TableOUSUCONMN[],7,FALSE),"")</f>
        <v/>
      </c>
      <c r="O14" s="73" t="str">
        <f>IFERROR(VLOOKUP(TableHandbook[[#This Row],[UDC]],TableOSCUANGAD[],7,FALSE),"")</f>
        <v/>
      </c>
      <c r="P14" s="73" t="str">
        <f>IFERROR(VLOOKUP(TableHandbook[[#This Row],[UDC]],TableOSCUINARS[],7,FALSE),"")</f>
        <v/>
      </c>
      <c r="Q14" s="73" t="str">
        <f>IFERROR(VLOOKUP(TableHandbook[[#This Row],[UDC]],TableOSCUPLGEO[],7,FALSE),"")</f>
        <v/>
      </c>
    </row>
    <row r="15" spans="1:18" x14ac:dyDescent="0.25">
      <c r="A15" t="s">
        <v>62</v>
      </c>
      <c r="B15" s="2">
        <v>3</v>
      </c>
      <c r="C15" s="2" t="s">
        <v>229</v>
      </c>
      <c r="D15" s="75" t="s">
        <v>230</v>
      </c>
      <c r="E15" s="2">
        <v>25</v>
      </c>
      <c r="F15" s="71" t="s">
        <v>222</v>
      </c>
      <c r="G15" s="72" t="str">
        <f>IFERROR(IF(VLOOKUP(TableHandbook[[#This Row],[UDC]],TableAvailabilities[],2,FALSE)&gt;0,"Y",""),"")</f>
        <v/>
      </c>
      <c r="H15" s="72" t="str">
        <f>IFERROR(IF(VLOOKUP(TableHandbook[[#This Row],[UDC]],TableAvailabilities[],3,FALSE)&gt;0,"Y",""),"")</f>
        <v>Y</v>
      </c>
      <c r="I15" s="72" t="str">
        <f>IFERROR(IF(VLOOKUP(TableHandbook[[#This Row],[UDC]],TableAvailabilities[],4,FALSE)&gt;0,"Y",""),"")</f>
        <v/>
      </c>
      <c r="J15" s="72" t="str">
        <f>IFERROR(IF(VLOOKUP(TableHandbook[[#This Row],[UDC]],TableAvailabilities[],5,FALSE)&gt;0,"Y",""),"")</f>
        <v>Y</v>
      </c>
      <c r="K15" s="75"/>
      <c r="L15" s="73" t="str">
        <f>IFERROR(VLOOKUP(TableHandbook[[#This Row],[UDC]],TableOBCONMN[],7,FALSE),"")</f>
        <v>Core</v>
      </c>
      <c r="M15" s="73" t="str">
        <f>IFERROR(VLOOKUP(TableHandbook[[#This Row],[UDC]],TableOUSHCONMN[],7,FALSE),"")</f>
        <v/>
      </c>
      <c r="N15" s="73" t="str">
        <f>IFERROR(VLOOKUP(TableHandbook[[#This Row],[UDC]],TableOUSUCONMN[],7,FALSE),"")</f>
        <v/>
      </c>
      <c r="O15" s="73" t="str">
        <f>IFERROR(VLOOKUP(TableHandbook[[#This Row],[UDC]],TableOSCUANGAD[],7,FALSE),"")</f>
        <v/>
      </c>
      <c r="P15" s="73" t="str">
        <f>IFERROR(VLOOKUP(TableHandbook[[#This Row],[UDC]],TableOSCUINARS[],7,FALSE),"")</f>
        <v/>
      </c>
      <c r="Q15" s="73" t="str">
        <f>IFERROR(VLOOKUP(TableHandbook[[#This Row],[UDC]],TableOSCUPLGEO[],7,FALSE),"")</f>
        <v/>
      </c>
    </row>
    <row r="16" spans="1:18" x14ac:dyDescent="0.25">
      <c r="A16" t="s">
        <v>76</v>
      </c>
      <c r="B16" s="2">
        <v>1</v>
      </c>
      <c r="C16" s="2" t="s">
        <v>231</v>
      </c>
      <c r="D16" s="75" t="s">
        <v>232</v>
      </c>
      <c r="E16" s="2">
        <v>25</v>
      </c>
      <c r="F16" s="95" t="s">
        <v>223</v>
      </c>
      <c r="G16" s="72" t="str">
        <f>IFERROR(IF(VLOOKUP(TableHandbook[[#This Row],[UDC]],TableAvailabilities[],2,FALSE)&gt;0,"Y",""),"")</f>
        <v>Y</v>
      </c>
      <c r="H16" s="72" t="str">
        <f>IFERROR(IF(VLOOKUP(TableHandbook[[#This Row],[UDC]],TableAvailabilities[],3,FALSE)&gt;0,"Y",""),"")</f>
        <v/>
      </c>
      <c r="I16" s="72" t="str">
        <f>IFERROR(IF(VLOOKUP(TableHandbook[[#This Row],[UDC]],TableAvailabilities[],4,FALSE)&gt;0,"Y",""),"")</f>
        <v>Y</v>
      </c>
      <c r="J16" s="72" t="str">
        <f>IFERROR(IF(VLOOKUP(TableHandbook[[#This Row],[UDC]],TableAvailabilities[],5,FALSE)&gt;0,"Y",""),"")</f>
        <v/>
      </c>
      <c r="K16" s="75"/>
      <c r="L16" s="73" t="str">
        <f>IFERROR(VLOOKUP(TableHandbook[[#This Row],[UDC]],TableOBCONMN[],7,FALSE),"")</f>
        <v>Core</v>
      </c>
      <c r="M16" s="73" t="str">
        <f>IFERROR(VLOOKUP(TableHandbook[[#This Row],[UDC]],TableOUSHCONMN[],7,FALSE),"")</f>
        <v/>
      </c>
      <c r="N16" s="73" t="str">
        <f>IFERROR(VLOOKUP(TableHandbook[[#This Row],[UDC]],TableOUSUCONMN[],7,FALSE),"")</f>
        <v/>
      </c>
      <c r="O16" s="73" t="str">
        <f>IFERROR(VLOOKUP(TableHandbook[[#This Row],[UDC]],TableOSCUANGAD[],7,FALSE),"")</f>
        <v/>
      </c>
      <c r="P16" s="73" t="str">
        <f>IFERROR(VLOOKUP(TableHandbook[[#This Row],[UDC]],TableOSCUINARS[],7,FALSE),"")</f>
        <v/>
      </c>
      <c r="Q16" s="73" t="str">
        <f>IFERROR(VLOOKUP(TableHandbook[[#This Row],[UDC]],TableOSCUPLGEO[],7,FALSE),"")</f>
        <v/>
      </c>
    </row>
    <row r="17" spans="1:17" x14ac:dyDescent="0.25">
      <c r="A17" t="s">
        <v>57</v>
      </c>
      <c r="B17" s="2">
        <v>1</v>
      </c>
      <c r="C17" s="2" t="s">
        <v>233</v>
      </c>
      <c r="D17" s="75" t="s">
        <v>234</v>
      </c>
      <c r="E17" s="2">
        <v>25</v>
      </c>
      <c r="F17" s="95" t="s">
        <v>223</v>
      </c>
      <c r="G17" s="72" t="str">
        <f>IFERROR(IF(VLOOKUP(TableHandbook[[#This Row],[UDC]],TableAvailabilities[],2,FALSE)&gt;0,"Y",""),"")</f>
        <v/>
      </c>
      <c r="H17" s="72" t="str">
        <f>IFERROR(IF(VLOOKUP(TableHandbook[[#This Row],[UDC]],TableAvailabilities[],3,FALSE)&gt;0,"Y",""),"")</f>
        <v>Y</v>
      </c>
      <c r="I17" s="72" t="str">
        <f>IFERROR(IF(VLOOKUP(TableHandbook[[#This Row],[UDC]],TableAvailabilities[],4,FALSE)&gt;0,"Y",""),"")</f>
        <v/>
      </c>
      <c r="J17" s="72" t="str">
        <f>IFERROR(IF(VLOOKUP(TableHandbook[[#This Row],[UDC]],TableAvailabilities[],5,FALSE)&gt;0,"Y",""),"")</f>
        <v>Y</v>
      </c>
      <c r="K17" s="75"/>
      <c r="L17" s="73" t="str">
        <f>IFERROR(VLOOKUP(TableHandbook[[#This Row],[UDC]],TableOBCONMN[],7,FALSE),"")</f>
        <v>Core</v>
      </c>
      <c r="M17" s="73" t="str">
        <f>IFERROR(VLOOKUP(TableHandbook[[#This Row],[UDC]],TableOUSHCONMN[],7,FALSE),"")</f>
        <v/>
      </c>
      <c r="N17" s="73" t="str">
        <f>IFERROR(VLOOKUP(TableHandbook[[#This Row],[UDC]],TableOUSUCONMN[],7,FALSE),"")</f>
        <v/>
      </c>
      <c r="O17" s="73" t="str">
        <f>IFERROR(VLOOKUP(TableHandbook[[#This Row],[UDC]],TableOSCUANGAD[],7,FALSE),"")</f>
        <v/>
      </c>
      <c r="P17" s="73" t="str">
        <f>IFERROR(VLOOKUP(TableHandbook[[#This Row],[UDC]],TableOSCUINARS[],7,FALSE),"")</f>
        <v/>
      </c>
      <c r="Q17" s="73" t="str">
        <f>IFERROR(VLOOKUP(TableHandbook[[#This Row],[UDC]],TableOSCUPLGEO[],7,FALSE),"")</f>
        <v/>
      </c>
    </row>
    <row r="18" spans="1:17" x14ac:dyDescent="0.25">
      <c r="A18" t="s">
        <v>99</v>
      </c>
      <c r="B18" s="2">
        <v>1</v>
      </c>
      <c r="C18" s="2" t="s">
        <v>235</v>
      </c>
      <c r="D18" s="75" t="s">
        <v>236</v>
      </c>
      <c r="E18" s="2">
        <v>25</v>
      </c>
      <c r="F18" s="95" t="s">
        <v>237</v>
      </c>
      <c r="G18" s="72" t="str">
        <f>IFERROR(IF(VLOOKUP(TableHandbook[[#This Row],[UDC]],TableAvailabilities[],2,FALSE)&gt;0,"Y",""),"")</f>
        <v/>
      </c>
      <c r="H18" s="72" t="str">
        <f>IFERROR(IF(VLOOKUP(TableHandbook[[#This Row],[UDC]],TableAvailabilities[],3,FALSE)&gt;0,"Y",""),"")</f>
        <v>Y</v>
      </c>
      <c r="I18" s="72" t="str">
        <f>IFERROR(IF(VLOOKUP(TableHandbook[[#This Row],[UDC]],TableAvailabilities[],4,FALSE)&gt;0,"Y",""),"")</f>
        <v/>
      </c>
      <c r="J18" s="72" t="str">
        <f>IFERROR(IF(VLOOKUP(TableHandbook[[#This Row],[UDC]],TableAvailabilities[],5,FALSE)&gt;0,"Y",""),"")</f>
        <v>Y</v>
      </c>
      <c r="K18" s="75"/>
      <c r="L18" s="73" t="str">
        <f>IFERROR(VLOOKUP(TableHandbook[[#This Row],[UDC]],TableOBCONMN[],7,FALSE),"")</f>
        <v>Core</v>
      </c>
      <c r="M18" s="73" t="str">
        <f>IFERROR(VLOOKUP(TableHandbook[[#This Row],[UDC]],TableOUSHCONMN[],7,FALSE),"")</f>
        <v/>
      </c>
      <c r="N18" s="73" t="str">
        <f>IFERROR(VLOOKUP(TableHandbook[[#This Row],[UDC]],TableOUSUCONMN[],7,FALSE),"")</f>
        <v/>
      </c>
      <c r="O18" s="73" t="str">
        <f>IFERROR(VLOOKUP(TableHandbook[[#This Row],[UDC]],TableOSCUANGAD[],7,FALSE),"")</f>
        <v/>
      </c>
      <c r="P18" s="73" t="str">
        <f>IFERROR(VLOOKUP(TableHandbook[[#This Row],[UDC]],TableOSCUINARS[],7,FALSE),"")</f>
        <v/>
      </c>
      <c r="Q18" s="73" t="str">
        <f>IFERROR(VLOOKUP(TableHandbook[[#This Row],[UDC]],TableOSCUPLGEO[],7,FALSE),"")</f>
        <v/>
      </c>
    </row>
    <row r="19" spans="1:17" x14ac:dyDescent="0.25">
      <c r="A19" t="s">
        <v>89</v>
      </c>
      <c r="B19" s="2">
        <v>1</v>
      </c>
      <c r="C19" s="2" t="s">
        <v>237</v>
      </c>
      <c r="D19" s="75" t="s">
        <v>238</v>
      </c>
      <c r="E19" s="2">
        <v>25</v>
      </c>
      <c r="F19" s="95" t="s">
        <v>225</v>
      </c>
      <c r="G19" s="72" t="str">
        <f>IFERROR(IF(VLOOKUP(TableHandbook[[#This Row],[UDC]],TableAvailabilities[],2,FALSE)&gt;0,"Y",""),"")</f>
        <v/>
      </c>
      <c r="H19" s="72" t="str">
        <f>IFERROR(IF(VLOOKUP(TableHandbook[[#This Row],[UDC]],TableAvailabilities[],3,FALSE)&gt;0,"Y",""),"")</f>
        <v>Y</v>
      </c>
      <c r="I19" s="72" t="str">
        <f>IFERROR(IF(VLOOKUP(TableHandbook[[#This Row],[UDC]],TableAvailabilities[],4,FALSE)&gt;0,"Y",""),"")</f>
        <v/>
      </c>
      <c r="J19" s="72" t="str">
        <f>IFERROR(IF(VLOOKUP(TableHandbook[[#This Row],[UDC]],TableAvailabilities[],5,FALSE)&gt;0,"Y",""),"")</f>
        <v>Y</v>
      </c>
      <c r="K19" s="75"/>
      <c r="L19" s="73" t="str">
        <f>IFERROR(VLOOKUP(TableHandbook[[#This Row],[UDC]],TableOBCONMN[],7,FALSE),"")</f>
        <v>Core</v>
      </c>
      <c r="M19" s="73" t="str">
        <f>IFERROR(VLOOKUP(TableHandbook[[#This Row],[UDC]],TableOUSHCONMN[],7,FALSE),"")</f>
        <v/>
      </c>
      <c r="N19" s="73" t="str">
        <f>IFERROR(VLOOKUP(TableHandbook[[#This Row],[UDC]],TableOUSUCONMN[],7,FALSE),"")</f>
        <v/>
      </c>
      <c r="O19" s="73" t="str">
        <f>IFERROR(VLOOKUP(TableHandbook[[#This Row],[UDC]],TableOSCUANGAD[],7,FALSE),"")</f>
        <v/>
      </c>
      <c r="P19" s="73" t="str">
        <f>IFERROR(VLOOKUP(TableHandbook[[#This Row],[UDC]],TableOSCUINARS[],7,FALSE),"")</f>
        <v/>
      </c>
      <c r="Q19" s="73" t="str">
        <f>IFERROR(VLOOKUP(TableHandbook[[#This Row],[UDC]],TableOSCUPLGEO[],7,FALSE),"")</f>
        <v/>
      </c>
    </row>
    <row r="20" spans="1:17" x14ac:dyDescent="0.25">
      <c r="A20" t="s">
        <v>87</v>
      </c>
      <c r="B20" s="2">
        <v>1</v>
      </c>
      <c r="C20" s="2" t="s">
        <v>239</v>
      </c>
      <c r="D20" s="75" t="s">
        <v>240</v>
      </c>
      <c r="E20" s="2">
        <v>25</v>
      </c>
      <c r="F20" s="95" t="s">
        <v>241</v>
      </c>
      <c r="G20" s="72" t="str">
        <f>IFERROR(IF(VLOOKUP(TableHandbook[[#This Row],[UDC]],TableAvailabilities[],2,FALSE)&gt;0,"Y",""),"")</f>
        <v>Y</v>
      </c>
      <c r="H20" s="72" t="str">
        <f>IFERROR(IF(VLOOKUP(TableHandbook[[#This Row],[UDC]],TableAvailabilities[],3,FALSE)&gt;0,"Y",""),"")</f>
        <v/>
      </c>
      <c r="I20" s="72" t="str">
        <f>IFERROR(IF(VLOOKUP(TableHandbook[[#This Row],[UDC]],TableAvailabilities[],4,FALSE)&gt;0,"Y",""),"")</f>
        <v>Y</v>
      </c>
      <c r="J20" s="72" t="str">
        <f>IFERROR(IF(VLOOKUP(TableHandbook[[#This Row],[UDC]],TableAvailabilities[],5,FALSE)&gt;0,"Y",""),"")</f>
        <v/>
      </c>
      <c r="K20" s="75"/>
      <c r="L20" s="73" t="str">
        <f>IFERROR(VLOOKUP(TableHandbook[[#This Row],[UDC]],TableOBCONMN[],7,FALSE),"")</f>
        <v>Core</v>
      </c>
      <c r="M20" s="73" t="str">
        <f>IFERROR(VLOOKUP(TableHandbook[[#This Row],[UDC]],TableOUSHCONMN[],7,FALSE),"")</f>
        <v/>
      </c>
      <c r="N20" s="73" t="str">
        <f>IFERROR(VLOOKUP(TableHandbook[[#This Row],[UDC]],TableOUSUCONMN[],7,FALSE),"")</f>
        <v/>
      </c>
      <c r="O20" s="73" t="str">
        <f>IFERROR(VLOOKUP(TableHandbook[[#This Row],[UDC]],TableOSCUANGAD[],7,FALSE),"")</f>
        <v/>
      </c>
      <c r="P20" s="73" t="str">
        <f>IFERROR(VLOOKUP(TableHandbook[[#This Row],[UDC]],TableOSCUINARS[],7,FALSE),"")</f>
        <v/>
      </c>
      <c r="Q20" s="73" t="str">
        <f>IFERROR(VLOOKUP(TableHandbook[[#This Row],[UDC]],TableOSCUPLGEO[],7,FALSE),"")</f>
        <v/>
      </c>
    </row>
    <row r="21" spans="1:17" x14ac:dyDescent="0.25">
      <c r="A21" t="s">
        <v>93</v>
      </c>
      <c r="B21" s="2">
        <v>3</v>
      </c>
      <c r="C21" s="2" t="s">
        <v>242</v>
      </c>
      <c r="D21" s="75" t="s">
        <v>243</v>
      </c>
      <c r="E21" s="2">
        <v>25</v>
      </c>
      <c r="F21" s="95" t="s">
        <v>241</v>
      </c>
      <c r="G21" s="72" t="str">
        <f>IFERROR(IF(VLOOKUP(TableHandbook[[#This Row],[UDC]],TableAvailabilities[],2,FALSE)&gt;0,"Y",""),"")</f>
        <v>Y</v>
      </c>
      <c r="H21" s="72" t="str">
        <f>IFERROR(IF(VLOOKUP(TableHandbook[[#This Row],[UDC]],TableAvailabilities[],3,FALSE)&gt;0,"Y",""),"")</f>
        <v/>
      </c>
      <c r="I21" s="72" t="str">
        <f>IFERROR(IF(VLOOKUP(TableHandbook[[#This Row],[UDC]],TableAvailabilities[],4,FALSE)&gt;0,"Y",""),"")</f>
        <v>Y</v>
      </c>
      <c r="J21" s="72" t="str">
        <f>IFERROR(IF(VLOOKUP(TableHandbook[[#This Row],[UDC]],TableAvailabilities[],5,FALSE)&gt;0,"Y",""),"")</f>
        <v/>
      </c>
      <c r="K21" s="75"/>
      <c r="L21" s="73" t="str">
        <f>IFERROR(VLOOKUP(TableHandbook[[#This Row],[UDC]],TableOBCONMN[],7,FALSE),"")</f>
        <v>Core</v>
      </c>
      <c r="M21" s="73" t="str">
        <f>IFERROR(VLOOKUP(TableHandbook[[#This Row],[UDC]],TableOUSHCONMN[],7,FALSE),"")</f>
        <v/>
      </c>
      <c r="N21" s="73" t="str">
        <f>IFERROR(VLOOKUP(TableHandbook[[#This Row],[UDC]],TableOUSUCONMN[],7,FALSE),"")</f>
        <v/>
      </c>
      <c r="O21" s="73" t="str">
        <f>IFERROR(VLOOKUP(TableHandbook[[#This Row],[UDC]],TableOSCUANGAD[],7,FALSE),"")</f>
        <v/>
      </c>
      <c r="P21" s="73" t="str">
        <f>IFERROR(VLOOKUP(TableHandbook[[#This Row],[UDC]],TableOSCUINARS[],7,FALSE),"")</f>
        <v/>
      </c>
      <c r="Q21" s="73" t="str">
        <f>IFERROR(VLOOKUP(TableHandbook[[#This Row],[UDC]],TableOSCUPLGEO[],7,FALSE),"")</f>
        <v/>
      </c>
    </row>
    <row r="22" spans="1:17" x14ac:dyDescent="0.25">
      <c r="A22" t="s">
        <v>98</v>
      </c>
      <c r="B22" s="2">
        <v>3</v>
      </c>
      <c r="C22" s="2" t="s">
        <v>244</v>
      </c>
      <c r="D22" s="75" t="s">
        <v>245</v>
      </c>
      <c r="E22" s="2">
        <v>25</v>
      </c>
      <c r="F22" s="95" t="s">
        <v>225</v>
      </c>
      <c r="G22" s="72" t="str">
        <f>IFERROR(IF(VLOOKUP(TableHandbook[[#This Row],[UDC]],TableAvailabilities[],2,FALSE)&gt;0,"Y",""),"")</f>
        <v>Y</v>
      </c>
      <c r="H22" s="72" t="str">
        <f>IFERROR(IF(VLOOKUP(TableHandbook[[#This Row],[UDC]],TableAvailabilities[],3,FALSE)&gt;0,"Y",""),"")</f>
        <v/>
      </c>
      <c r="I22" s="72" t="str">
        <f>IFERROR(IF(VLOOKUP(TableHandbook[[#This Row],[UDC]],TableAvailabilities[],4,FALSE)&gt;0,"Y",""),"")</f>
        <v>Y</v>
      </c>
      <c r="J22" s="72" t="str">
        <f>IFERROR(IF(VLOOKUP(TableHandbook[[#This Row],[UDC]],TableAvailabilities[],5,FALSE)&gt;0,"Y",""),"")</f>
        <v/>
      </c>
      <c r="K22" s="75"/>
      <c r="L22" s="73" t="str">
        <f>IFERROR(VLOOKUP(TableHandbook[[#This Row],[UDC]],TableOBCONMN[],7,FALSE),"")</f>
        <v>Core</v>
      </c>
      <c r="M22" s="73" t="str">
        <f>IFERROR(VLOOKUP(TableHandbook[[#This Row],[UDC]],TableOUSHCONMN[],7,FALSE),"")</f>
        <v/>
      </c>
      <c r="N22" s="73" t="str">
        <f>IFERROR(VLOOKUP(TableHandbook[[#This Row],[UDC]],TableOUSUCONMN[],7,FALSE),"")</f>
        <v/>
      </c>
      <c r="O22" s="73" t="str">
        <f>IFERROR(VLOOKUP(TableHandbook[[#This Row],[UDC]],TableOSCUANGAD[],7,FALSE),"")</f>
        <v/>
      </c>
      <c r="P22" s="73" t="str">
        <f>IFERROR(VLOOKUP(TableHandbook[[#This Row],[UDC]],TableOSCUINARS[],7,FALSE),"")</f>
        <v/>
      </c>
      <c r="Q22" s="73" t="str">
        <f>IFERROR(VLOOKUP(TableHandbook[[#This Row],[UDC]],TableOSCUPLGEO[],7,FALSE),"")</f>
        <v/>
      </c>
    </row>
    <row r="23" spans="1:17" x14ac:dyDescent="0.25">
      <c r="A23" t="s">
        <v>95</v>
      </c>
      <c r="B23" s="2">
        <v>1</v>
      </c>
      <c r="C23" s="2" t="s">
        <v>246</v>
      </c>
      <c r="D23" s="75" t="s">
        <v>247</v>
      </c>
      <c r="E23" s="2">
        <v>25</v>
      </c>
      <c r="F23" s="95" t="s">
        <v>248</v>
      </c>
      <c r="G23" s="72" t="str">
        <f>IFERROR(IF(VLOOKUP(TableHandbook[[#This Row],[UDC]],TableAvailabilities[],2,FALSE)&gt;0,"Y",""),"")</f>
        <v/>
      </c>
      <c r="H23" s="72" t="str">
        <f>IFERROR(IF(VLOOKUP(TableHandbook[[#This Row],[UDC]],TableAvailabilities[],3,FALSE)&gt;0,"Y",""),"")</f>
        <v>Y</v>
      </c>
      <c r="I23" s="72" t="str">
        <f>IFERROR(IF(VLOOKUP(TableHandbook[[#This Row],[UDC]],TableAvailabilities[],4,FALSE)&gt;0,"Y",""),"")</f>
        <v/>
      </c>
      <c r="J23" s="72" t="str">
        <f>IFERROR(IF(VLOOKUP(TableHandbook[[#This Row],[UDC]],TableAvailabilities[],5,FALSE)&gt;0,"Y",""),"")</f>
        <v>Y</v>
      </c>
      <c r="K23" s="75"/>
      <c r="L23" s="73" t="str">
        <f>IFERROR(VLOOKUP(TableHandbook[[#This Row],[UDC]],TableOBCONMN[],7,FALSE),"")</f>
        <v>Core</v>
      </c>
      <c r="M23" s="73" t="str">
        <f>IFERROR(VLOOKUP(TableHandbook[[#This Row],[UDC]],TableOUSHCONMN[],7,FALSE),"")</f>
        <v/>
      </c>
      <c r="N23" s="73" t="str">
        <f>IFERROR(VLOOKUP(TableHandbook[[#This Row],[UDC]],TableOUSUCONMN[],7,FALSE),"")</f>
        <v/>
      </c>
      <c r="O23" s="73" t="str">
        <f>IFERROR(VLOOKUP(TableHandbook[[#This Row],[UDC]],TableOSCUANGAD[],7,FALSE),"")</f>
        <v/>
      </c>
      <c r="P23" s="73" t="str">
        <f>IFERROR(VLOOKUP(TableHandbook[[#This Row],[UDC]],TableOSCUINARS[],7,FALSE),"")</f>
        <v/>
      </c>
      <c r="Q23" s="73" t="str">
        <f>IFERROR(VLOOKUP(TableHandbook[[#This Row],[UDC]],TableOSCUPLGEO[],7,FALSE),"")</f>
        <v/>
      </c>
    </row>
    <row r="24" spans="1:17" x14ac:dyDescent="0.25">
      <c r="A24" t="s">
        <v>118</v>
      </c>
      <c r="B24" s="2">
        <v>4</v>
      </c>
      <c r="C24" s="2" t="s">
        <v>249</v>
      </c>
      <c r="D24" s="75" t="s">
        <v>250</v>
      </c>
      <c r="E24" s="2">
        <v>25</v>
      </c>
      <c r="F24" s="95" t="s">
        <v>251</v>
      </c>
      <c r="G24" s="72" t="str">
        <f>IFERROR(IF(VLOOKUP(TableHandbook[[#This Row],[UDC]],TableAvailabilities[],2,FALSE)&gt;0,"Y",""),"")</f>
        <v/>
      </c>
      <c r="H24" s="72" t="str">
        <f>IFERROR(IF(VLOOKUP(TableHandbook[[#This Row],[UDC]],TableAvailabilities[],3,FALSE)&gt;0,"Y",""),"")</f>
        <v>Y</v>
      </c>
      <c r="I24" s="72" t="str">
        <f>IFERROR(IF(VLOOKUP(TableHandbook[[#This Row],[UDC]],TableAvailabilities[],4,FALSE)&gt;0,"Y",""),"")</f>
        <v/>
      </c>
      <c r="J24" s="72" t="str">
        <f>IFERROR(IF(VLOOKUP(TableHandbook[[#This Row],[UDC]],TableAvailabilities[],5,FALSE)&gt;0,"Y",""),"")</f>
        <v>Y</v>
      </c>
      <c r="K24" s="75"/>
      <c r="L24" s="73" t="str">
        <f>IFERROR(VLOOKUP(TableHandbook[[#This Row],[UDC]],TableOBCONMN[],7,FALSE),"")</f>
        <v>Core</v>
      </c>
      <c r="M24" s="73" t="str">
        <f>IFERROR(VLOOKUP(TableHandbook[[#This Row],[UDC]],TableOUSHCONMN[],7,FALSE),"")</f>
        <v/>
      </c>
      <c r="N24" s="73" t="str">
        <f>IFERROR(VLOOKUP(TableHandbook[[#This Row],[UDC]],TableOUSUCONMN[],7,FALSE),"")</f>
        <v/>
      </c>
      <c r="O24" s="73" t="str">
        <f>IFERROR(VLOOKUP(TableHandbook[[#This Row],[UDC]],TableOSCUANGAD[],7,FALSE),"")</f>
        <v/>
      </c>
      <c r="P24" s="73" t="str">
        <f>IFERROR(VLOOKUP(TableHandbook[[#This Row],[UDC]],TableOSCUINARS[],7,FALSE),"")</f>
        <v/>
      </c>
      <c r="Q24" s="73" t="str">
        <f>IFERROR(VLOOKUP(TableHandbook[[#This Row],[UDC]],TableOSCUPLGEO[],7,FALSE),"")</f>
        <v/>
      </c>
    </row>
    <row r="25" spans="1:17" x14ac:dyDescent="0.25">
      <c r="A25" t="s">
        <v>114</v>
      </c>
      <c r="B25" s="2">
        <v>2</v>
      </c>
      <c r="C25" s="2" t="s">
        <v>252</v>
      </c>
      <c r="D25" s="75" t="s">
        <v>253</v>
      </c>
      <c r="E25" s="2">
        <v>25</v>
      </c>
      <c r="F25" s="95" t="s">
        <v>225</v>
      </c>
      <c r="G25" s="72" t="str">
        <f>IFERROR(IF(VLOOKUP(TableHandbook[[#This Row],[UDC]],TableAvailabilities[],2,FALSE)&gt;0,"Y",""),"")</f>
        <v>Y</v>
      </c>
      <c r="H25" s="72" t="str">
        <f>IFERROR(IF(VLOOKUP(TableHandbook[[#This Row],[UDC]],TableAvailabilities[],3,FALSE)&gt;0,"Y",""),"")</f>
        <v/>
      </c>
      <c r="I25" s="72" t="str">
        <f>IFERROR(IF(VLOOKUP(TableHandbook[[#This Row],[UDC]],TableAvailabilities[],4,FALSE)&gt;0,"Y",""),"")</f>
        <v>Y</v>
      </c>
      <c r="J25" s="72" t="str">
        <f>IFERROR(IF(VLOOKUP(TableHandbook[[#This Row],[UDC]],TableAvailabilities[],5,FALSE)&gt;0,"Y",""),"")</f>
        <v/>
      </c>
      <c r="K25" s="75"/>
      <c r="L25" s="73" t="str">
        <f>IFERROR(VLOOKUP(TableHandbook[[#This Row],[UDC]],TableOBCONMN[],7,FALSE),"")</f>
        <v>Core</v>
      </c>
      <c r="M25" s="73" t="str">
        <f>IFERROR(VLOOKUP(TableHandbook[[#This Row],[UDC]],TableOUSHCONMN[],7,FALSE),"")</f>
        <v/>
      </c>
      <c r="N25" s="73" t="str">
        <f>IFERROR(VLOOKUP(TableHandbook[[#This Row],[UDC]],TableOUSUCONMN[],7,FALSE),"")</f>
        <v/>
      </c>
      <c r="O25" s="73" t="str">
        <f>IFERROR(VLOOKUP(TableHandbook[[#This Row],[UDC]],TableOSCUANGAD[],7,FALSE),"")</f>
        <v/>
      </c>
      <c r="P25" s="73" t="str">
        <f>IFERROR(VLOOKUP(TableHandbook[[#This Row],[UDC]],TableOSCUINARS[],7,FALSE),"")</f>
        <v/>
      </c>
      <c r="Q25" s="73" t="str">
        <f>IFERROR(VLOOKUP(TableHandbook[[#This Row],[UDC]],TableOSCUPLGEO[],7,FALSE),"")</f>
        <v/>
      </c>
    </row>
    <row r="26" spans="1:17" x14ac:dyDescent="0.25">
      <c r="A26" t="s">
        <v>111</v>
      </c>
      <c r="B26" s="2">
        <v>1</v>
      </c>
      <c r="C26" s="2" t="s">
        <v>254</v>
      </c>
      <c r="D26" s="75" t="s">
        <v>413</v>
      </c>
      <c r="E26" s="2">
        <v>25</v>
      </c>
      <c r="F26" s="95" t="s">
        <v>255</v>
      </c>
      <c r="G26" s="72" t="str">
        <f>IFERROR(IF(VLOOKUP(TableHandbook[[#This Row],[UDC]],TableAvailabilities[],2,FALSE)&gt;0,"Y",""),"")</f>
        <v/>
      </c>
      <c r="H26" s="72" t="str">
        <f>IFERROR(IF(VLOOKUP(TableHandbook[[#This Row],[UDC]],TableAvailabilities[],3,FALSE)&gt;0,"Y",""),"")</f>
        <v>Y</v>
      </c>
      <c r="I26" s="72" t="str">
        <f>IFERROR(IF(VLOOKUP(TableHandbook[[#This Row],[UDC]],TableAvailabilities[],4,FALSE)&gt;0,"Y",""),"")</f>
        <v/>
      </c>
      <c r="J26" s="72" t="str">
        <f>IFERROR(IF(VLOOKUP(TableHandbook[[#This Row],[UDC]],TableAvailabilities[],5,FALSE)&gt;0,"Y",""),"")</f>
        <v>Y</v>
      </c>
      <c r="K26" s="75"/>
      <c r="L26" s="73" t="str">
        <f>IFERROR(VLOOKUP(TableHandbook[[#This Row],[UDC]],TableOBCONMN[],7,FALSE),"")</f>
        <v>Core</v>
      </c>
      <c r="M26" s="73" t="str">
        <f>IFERROR(VLOOKUP(TableHandbook[[#This Row],[UDC]],TableOUSHCONMN[],7,FALSE),"")</f>
        <v/>
      </c>
      <c r="N26" s="73" t="str">
        <f>IFERROR(VLOOKUP(TableHandbook[[#This Row],[UDC]],TableOUSUCONMN[],7,FALSE),"")</f>
        <v/>
      </c>
      <c r="O26" s="73" t="str">
        <f>IFERROR(VLOOKUP(TableHandbook[[#This Row],[UDC]],TableOSCUANGAD[],7,FALSE),"")</f>
        <v/>
      </c>
      <c r="P26" s="73" t="str">
        <f>IFERROR(VLOOKUP(TableHandbook[[#This Row],[UDC]],TableOSCUINARS[],7,FALSE),"")</f>
        <v/>
      </c>
      <c r="Q26" s="73" t="str">
        <f>IFERROR(VLOOKUP(TableHandbook[[#This Row],[UDC]],TableOSCUPLGEO[],7,FALSE),"")</f>
        <v/>
      </c>
    </row>
    <row r="27" spans="1:17" x14ac:dyDescent="0.25">
      <c r="A27" t="s">
        <v>126</v>
      </c>
      <c r="B27" s="2">
        <v>1</v>
      </c>
      <c r="C27" s="2" t="s">
        <v>256</v>
      </c>
      <c r="D27" s="75" t="s">
        <v>414</v>
      </c>
      <c r="E27" s="2">
        <v>25</v>
      </c>
      <c r="F27" s="95" t="s">
        <v>257</v>
      </c>
      <c r="G27" s="72" t="str">
        <f>IFERROR(IF(VLOOKUP(TableHandbook[[#This Row],[UDC]],TableAvailabilities[],2,FALSE)&gt;0,"Y",""),"")</f>
        <v>Y</v>
      </c>
      <c r="H27" s="72" t="str">
        <f>IFERROR(IF(VLOOKUP(TableHandbook[[#This Row],[UDC]],TableAvailabilities[],3,FALSE)&gt;0,"Y",""),"")</f>
        <v/>
      </c>
      <c r="I27" s="72" t="str">
        <f>IFERROR(IF(VLOOKUP(TableHandbook[[#This Row],[UDC]],TableAvailabilities[],4,FALSE)&gt;0,"Y",""),"")</f>
        <v>Y</v>
      </c>
      <c r="J27" s="72" t="str">
        <f>IFERROR(IF(VLOOKUP(TableHandbook[[#This Row],[UDC]],TableAvailabilities[],5,FALSE)&gt;0,"Y",""),"")</f>
        <v/>
      </c>
      <c r="K27" s="75"/>
      <c r="L27" s="73" t="str">
        <f>IFERROR(VLOOKUP(TableHandbook[[#This Row],[UDC]],TableOBCONMN[],7,FALSE),"")</f>
        <v>Core</v>
      </c>
      <c r="M27" s="73" t="str">
        <f>IFERROR(VLOOKUP(TableHandbook[[#This Row],[UDC]],TableOUSHCONMN[],7,FALSE),"")</f>
        <v/>
      </c>
      <c r="N27" s="73" t="str">
        <f>IFERROR(VLOOKUP(TableHandbook[[#This Row],[UDC]],TableOUSUCONMN[],7,FALSE),"")</f>
        <v/>
      </c>
      <c r="O27" s="73" t="str">
        <f>IFERROR(VLOOKUP(TableHandbook[[#This Row],[UDC]],TableOSCUANGAD[],7,FALSE),"")</f>
        <v/>
      </c>
      <c r="P27" s="73" t="str">
        <f>IFERROR(VLOOKUP(TableHandbook[[#This Row],[UDC]],TableOSCUINARS[],7,FALSE),"")</f>
        <v/>
      </c>
      <c r="Q27" s="73" t="str">
        <f>IFERROR(VLOOKUP(TableHandbook[[#This Row],[UDC]],TableOSCUPLGEO[],7,FALSE),"")</f>
        <v/>
      </c>
    </row>
    <row r="28" spans="1:17" x14ac:dyDescent="0.25">
      <c r="A28" t="s">
        <v>109</v>
      </c>
      <c r="B28" s="2">
        <v>1</v>
      </c>
      <c r="C28" s="2" t="s">
        <v>258</v>
      </c>
      <c r="D28" s="75" t="s">
        <v>259</v>
      </c>
      <c r="E28" s="2">
        <v>25</v>
      </c>
      <c r="F28" s="95" t="s">
        <v>237</v>
      </c>
      <c r="G28" s="72" t="str">
        <f>IFERROR(IF(VLOOKUP(TableHandbook[[#This Row],[UDC]],TableAvailabilities[],2,FALSE)&gt;0,"Y",""),"")</f>
        <v>Y</v>
      </c>
      <c r="H28" s="72" t="str">
        <f>IFERROR(IF(VLOOKUP(TableHandbook[[#This Row],[UDC]],TableAvailabilities[],3,FALSE)&gt;0,"Y",""),"")</f>
        <v/>
      </c>
      <c r="I28" s="72" t="str">
        <f>IFERROR(IF(VLOOKUP(TableHandbook[[#This Row],[UDC]],TableAvailabilities[],4,FALSE)&gt;0,"Y",""),"")</f>
        <v>Y</v>
      </c>
      <c r="J28" s="72" t="str">
        <f>IFERROR(IF(VLOOKUP(TableHandbook[[#This Row],[UDC]],TableAvailabilities[],5,FALSE)&gt;0,"Y",""),"")</f>
        <v/>
      </c>
      <c r="K28" s="75"/>
      <c r="L28" s="73" t="str">
        <f>IFERROR(VLOOKUP(TableHandbook[[#This Row],[UDC]],TableOBCONMN[],7,FALSE),"")</f>
        <v>Core</v>
      </c>
      <c r="M28" s="73" t="str">
        <f>IFERROR(VLOOKUP(TableHandbook[[#This Row],[UDC]],TableOUSHCONMN[],7,FALSE),"")</f>
        <v/>
      </c>
      <c r="N28" s="73" t="str">
        <f>IFERROR(VLOOKUP(TableHandbook[[#This Row],[UDC]],TableOUSUCONMN[],7,FALSE),"")</f>
        <v/>
      </c>
      <c r="O28" s="73" t="str">
        <f>IFERROR(VLOOKUP(TableHandbook[[#This Row],[UDC]],TableOSCUANGAD[],7,FALSE),"")</f>
        <v/>
      </c>
      <c r="P28" s="73" t="str">
        <f>IFERROR(VLOOKUP(TableHandbook[[#This Row],[UDC]],TableOSCUINARS[],7,FALSE),"")</f>
        <v/>
      </c>
      <c r="Q28" s="73" t="str">
        <f>IFERROR(VLOOKUP(TableHandbook[[#This Row],[UDC]],TableOSCUPLGEO[],7,FALSE),"")</f>
        <v/>
      </c>
    </row>
    <row r="29" spans="1:17" x14ac:dyDescent="0.25">
      <c r="A29" t="s">
        <v>154</v>
      </c>
      <c r="B29" s="2">
        <v>2</v>
      </c>
      <c r="C29" s="2" t="s">
        <v>260</v>
      </c>
      <c r="D29" s="75" t="s">
        <v>261</v>
      </c>
      <c r="E29" s="2">
        <v>25</v>
      </c>
      <c r="F29" s="95" t="s">
        <v>262</v>
      </c>
      <c r="G29" s="72" t="str">
        <f>IFERROR(IF(VLOOKUP(TableHandbook[[#This Row],[UDC]],TableAvailabilities[],2,FALSE)&gt;0,"Y",""),"")</f>
        <v>Y</v>
      </c>
      <c r="H29" s="72" t="str">
        <f>IFERROR(IF(VLOOKUP(TableHandbook[[#This Row],[UDC]],TableAvailabilities[],3,FALSE)&gt;0,"Y",""),"")</f>
        <v/>
      </c>
      <c r="I29" s="72" t="str">
        <f>IFERROR(IF(VLOOKUP(TableHandbook[[#This Row],[UDC]],TableAvailabilities[],4,FALSE)&gt;0,"Y",""),"")</f>
        <v>Y</v>
      </c>
      <c r="J29" s="72" t="str">
        <f>IFERROR(IF(VLOOKUP(TableHandbook[[#This Row],[UDC]],TableAvailabilities[],5,FALSE)&gt;0,"Y",""),"")</f>
        <v/>
      </c>
      <c r="K29" s="75"/>
      <c r="L29" s="73" t="str">
        <f>IFERROR(VLOOKUP(TableHandbook[[#This Row],[UDC]],TableOBCONMN[],7,FALSE),"")</f>
        <v/>
      </c>
      <c r="M29" s="73" t="str">
        <f>IFERROR(VLOOKUP(TableHandbook[[#This Row],[UDC]],TableOUSHCONMN[],7,FALSE),"")</f>
        <v>Core</v>
      </c>
      <c r="N29" s="73" t="str">
        <f>IFERROR(VLOOKUP(TableHandbook[[#This Row],[UDC]],TableOUSUCONMN[],7,FALSE),"")</f>
        <v/>
      </c>
      <c r="O29" s="73" t="str">
        <f>IFERROR(VLOOKUP(TableHandbook[[#This Row],[UDC]],TableOSCUANGAD[],7,FALSE),"")</f>
        <v/>
      </c>
      <c r="P29" s="73" t="str">
        <f>IFERROR(VLOOKUP(TableHandbook[[#This Row],[UDC]],TableOSCUINARS[],7,FALSE),"")</f>
        <v/>
      </c>
      <c r="Q29" s="73" t="str">
        <f>IFERROR(VLOOKUP(TableHandbook[[#This Row],[UDC]],TableOSCUPLGEO[],7,FALSE),"")</f>
        <v/>
      </c>
    </row>
    <row r="30" spans="1:17" x14ac:dyDescent="0.25">
      <c r="A30" t="s">
        <v>160</v>
      </c>
      <c r="B30" s="2">
        <v>2</v>
      </c>
      <c r="C30" s="2" t="s">
        <v>263</v>
      </c>
      <c r="D30" s="75" t="s">
        <v>264</v>
      </c>
      <c r="E30" s="2">
        <v>50</v>
      </c>
      <c r="F30" s="95" t="s">
        <v>260</v>
      </c>
      <c r="G30" s="72" t="str">
        <f>IFERROR(IF(VLOOKUP(TableHandbook[[#This Row],[UDC]],TableAvailabilities[],2,FALSE)&gt;0,"Y",""),"")</f>
        <v>Y</v>
      </c>
      <c r="H30" s="72" t="str">
        <f>IFERROR(IF(VLOOKUP(TableHandbook[[#This Row],[UDC]],TableAvailabilities[],3,FALSE)&gt;0,"Y",""),"")</f>
        <v/>
      </c>
      <c r="I30" s="72" t="str">
        <f>IFERROR(IF(VLOOKUP(TableHandbook[[#This Row],[UDC]],TableAvailabilities[],4,FALSE)&gt;0,"Y",""),"")</f>
        <v>Y</v>
      </c>
      <c r="J30" s="72" t="str">
        <f>IFERROR(IF(VLOOKUP(TableHandbook[[#This Row],[UDC]],TableAvailabilities[],5,FALSE)&gt;0,"Y",""),"")</f>
        <v/>
      </c>
      <c r="K30" s="75"/>
      <c r="L30" s="73" t="str">
        <f>IFERROR(VLOOKUP(TableHandbook[[#This Row],[UDC]],TableOBCONMN[],7,FALSE),"")</f>
        <v/>
      </c>
      <c r="M30" s="73" t="str">
        <f>IFERROR(VLOOKUP(TableHandbook[[#This Row],[UDC]],TableOUSHCONMN[],7,FALSE),"")</f>
        <v>Core</v>
      </c>
      <c r="N30" s="73" t="str">
        <f>IFERROR(VLOOKUP(TableHandbook[[#This Row],[UDC]],TableOUSUCONMN[],7,FALSE),"")</f>
        <v/>
      </c>
      <c r="O30" s="73" t="str">
        <f>IFERROR(VLOOKUP(TableHandbook[[#This Row],[UDC]],TableOSCUANGAD[],7,FALSE),"")</f>
        <v/>
      </c>
      <c r="P30" s="73" t="str">
        <f>IFERROR(VLOOKUP(TableHandbook[[#This Row],[UDC]],TableOSCUINARS[],7,FALSE),"")</f>
        <v/>
      </c>
      <c r="Q30" s="73" t="str">
        <f>IFERROR(VLOOKUP(TableHandbook[[#This Row],[UDC]],TableOSCUPLGEO[],7,FALSE),"")</f>
        <v/>
      </c>
    </row>
    <row r="31" spans="1:17" x14ac:dyDescent="0.25">
      <c r="A31" t="s">
        <v>163</v>
      </c>
      <c r="B31" s="2">
        <v>2</v>
      </c>
      <c r="C31" s="2" t="s">
        <v>265</v>
      </c>
      <c r="D31" s="75" t="s">
        <v>266</v>
      </c>
      <c r="E31" s="2">
        <v>25</v>
      </c>
      <c r="F31" s="95" t="s">
        <v>267</v>
      </c>
      <c r="G31" s="72" t="str">
        <f>IFERROR(IF(VLOOKUP(TableHandbook[[#This Row],[UDC]],TableAvailabilities[],2,FALSE)&gt;0,"Y",""),"")</f>
        <v/>
      </c>
      <c r="H31" s="72" t="str">
        <f>IFERROR(IF(VLOOKUP(TableHandbook[[#This Row],[UDC]],TableAvailabilities[],3,FALSE)&gt;0,"Y",""),"")</f>
        <v>Y</v>
      </c>
      <c r="I31" s="72" t="str">
        <f>IFERROR(IF(VLOOKUP(TableHandbook[[#This Row],[UDC]],TableAvailabilities[],4,FALSE)&gt;0,"Y",""),"")</f>
        <v/>
      </c>
      <c r="J31" s="72" t="str">
        <f>IFERROR(IF(VLOOKUP(TableHandbook[[#This Row],[UDC]],TableAvailabilities[],5,FALSE)&gt;0,"Y",""),"")</f>
        <v>Y</v>
      </c>
      <c r="K31" s="75"/>
      <c r="L31" s="73" t="str">
        <f>IFERROR(VLOOKUP(TableHandbook[[#This Row],[UDC]],TableOBCONMN[],7,FALSE),"")</f>
        <v/>
      </c>
      <c r="M31" s="73" t="str">
        <f>IFERROR(VLOOKUP(TableHandbook[[#This Row],[UDC]],TableOUSHCONMN[],7,FALSE),"")</f>
        <v>Core</v>
      </c>
      <c r="N31" s="73" t="str">
        <f>IFERROR(VLOOKUP(TableHandbook[[#This Row],[UDC]],TableOUSUCONMN[],7,FALSE),"")</f>
        <v>Core</v>
      </c>
      <c r="O31" s="73" t="str">
        <f>IFERROR(VLOOKUP(TableHandbook[[#This Row],[UDC]],TableOSCUANGAD[],7,FALSE),"")</f>
        <v/>
      </c>
      <c r="P31" s="73" t="str">
        <f>IFERROR(VLOOKUP(TableHandbook[[#This Row],[UDC]],TableOSCUINARS[],7,FALSE),"")</f>
        <v/>
      </c>
      <c r="Q31" s="73" t="str">
        <f>IFERROR(VLOOKUP(TableHandbook[[#This Row],[UDC]],TableOSCUPLGEO[],7,FALSE),"")</f>
        <v/>
      </c>
    </row>
    <row r="32" spans="1:17" ht="31.5" x14ac:dyDescent="0.25">
      <c r="A32" t="s">
        <v>152</v>
      </c>
      <c r="B32" s="2">
        <v>3</v>
      </c>
      <c r="C32" s="2" t="s">
        <v>268</v>
      </c>
      <c r="D32" s="75" t="s">
        <v>416</v>
      </c>
      <c r="E32" s="2">
        <v>25</v>
      </c>
      <c r="F32" s="95" t="s">
        <v>415</v>
      </c>
      <c r="G32" s="72" t="str">
        <f>IFERROR(IF(VLOOKUP(TableHandbook[[#This Row],[UDC]],TableAvailabilities[],2,FALSE)&gt;0,"Y",""),"")</f>
        <v>Y</v>
      </c>
      <c r="H32" s="72" t="str">
        <f>IFERROR(IF(VLOOKUP(TableHandbook[[#This Row],[UDC]],TableAvailabilities[],3,FALSE)&gt;0,"Y",""),"")</f>
        <v/>
      </c>
      <c r="I32" s="72" t="str">
        <f>IFERROR(IF(VLOOKUP(TableHandbook[[#This Row],[UDC]],TableAvailabilities[],4,FALSE)&gt;0,"Y",""),"")</f>
        <v>Y</v>
      </c>
      <c r="J32" s="72" t="str">
        <f>IFERROR(IF(VLOOKUP(TableHandbook[[#This Row],[UDC]],TableAvailabilities[],5,FALSE)&gt;0,"Y",""),"")</f>
        <v/>
      </c>
      <c r="K32" s="96" t="s">
        <v>422</v>
      </c>
      <c r="L32" s="73" t="str">
        <f>IFERROR(VLOOKUP(TableHandbook[[#This Row],[UDC]],TableOBCONMN[],7,FALSE),"")</f>
        <v/>
      </c>
      <c r="M32" s="73" t="str">
        <f>IFERROR(VLOOKUP(TableHandbook[[#This Row],[UDC]],TableOUSHCONMN[],7,FALSE),"")</f>
        <v/>
      </c>
      <c r="N32" s="73" t="str">
        <f>IFERROR(VLOOKUP(TableHandbook[[#This Row],[UDC]],TableOUSUCONMN[],7,FALSE),"")</f>
        <v>Core</v>
      </c>
      <c r="O32" s="73" t="str">
        <f>IFERROR(VLOOKUP(TableHandbook[[#This Row],[UDC]],TableOSCUANGAD[],7,FALSE),"")</f>
        <v/>
      </c>
      <c r="P32" s="73" t="str">
        <f>IFERROR(VLOOKUP(TableHandbook[[#This Row],[UDC]],TableOSCUINARS[],7,FALSE),"")</f>
        <v/>
      </c>
      <c r="Q32" s="73" t="str">
        <f>IFERROR(VLOOKUP(TableHandbook[[#This Row],[UDC]],TableOSCUPLGEO[],7,FALSE),"")</f>
        <v/>
      </c>
    </row>
    <row r="33" spans="1:17" x14ac:dyDescent="0.25">
      <c r="A33" t="s">
        <v>146</v>
      </c>
      <c r="B33" s="2">
        <v>3</v>
      </c>
      <c r="C33" s="2" t="s">
        <v>269</v>
      </c>
      <c r="D33" s="75" t="s">
        <v>270</v>
      </c>
      <c r="E33" s="2">
        <v>25</v>
      </c>
      <c r="F33" s="95" t="s">
        <v>271</v>
      </c>
      <c r="G33" s="72" t="str">
        <f>IFERROR(IF(VLOOKUP(TableHandbook[[#This Row],[UDC]],TableAvailabilities[],2,FALSE)&gt;0,"Y",""),"")</f>
        <v>Y</v>
      </c>
      <c r="H33" s="72" t="str">
        <f>IFERROR(IF(VLOOKUP(TableHandbook[[#This Row],[UDC]],TableAvailabilities[],3,FALSE)&gt;0,"Y",""),"")</f>
        <v/>
      </c>
      <c r="I33" s="72" t="str">
        <f>IFERROR(IF(VLOOKUP(TableHandbook[[#This Row],[UDC]],TableAvailabilities[],4,FALSE)&gt;0,"Y",""),"")</f>
        <v>Y</v>
      </c>
      <c r="J33" s="72" t="str">
        <f>IFERROR(IF(VLOOKUP(TableHandbook[[#This Row],[UDC]],TableAvailabilities[],5,FALSE)&gt;0,"Y",""),"")</f>
        <v/>
      </c>
      <c r="K33" s="75"/>
      <c r="L33" s="73" t="str">
        <f>IFERROR(VLOOKUP(TableHandbook[[#This Row],[UDC]],TableOBCONMN[],7,FALSE),"")</f>
        <v/>
      </c>
      <c r="M33" s="73" t="str">
        <f>IFERROR(VLOOKUP(TableHandbook[[#This Row],[UDC]],TableOUSHCONMN[],7,FALSE),"")</f>
        <v>Core</v>
      </c>
      <c r="N33" s="73" t="str">
        <f>IFERROR(VLOOKUP(TableHandbook[[#This Row],[UDC]],TableOUSUCONMN[],7,FALSE),"")</f>
        <v>Core</v>
      </c>
      <c r="O33" s="73" t="str">
        <f>IFERROR(VLOOKUP(TableHandbook[[#This Row],[UDC]],TableOSCUANGAD[],7,FALSE),"")</f>
        <v/>
      </c>
      <c r="P33" s="73" t="str">
        <f>IFERROR(VLOOKUP(TableHandbook[[#This Row],[UDC]],TableOSCUINARS[],7,FALSE),"")</f>
        <v/>
      </c>
      <c r="Q33" s="73" t="str">
        <f>IFERROR(VLOOKUP(TableHandbook[[#This Row],[UDC]],TableOSCUPLGEO[],7,FALSE),"")</f>
        <v/>
      </c>
    </row>
    <row r="34" spans="1:17" x14ac:dyDescent="0.25">
      <c r="A34" t="s">
        <v>159</v>
      </c>
      <c r="B34" s="2">
        <v>2</v>
      </c>
      <c r="C34" s="2" t="s">
        <v>272</v>
      </c>
      <c r="D34" s="75" t="s">
        <v>418</v>
      </c>
      <c r="E34" s="2">
        <v>25</v>
      </c>
      <c r="F34" s="95" t="s">
        <v>417</v>
      </c>
      <c r="G34" s="72" t="str">
        <f>IFERROR(IF(VLOOKUP(TableHandbook[[#This Row],[UDC]],TableAvailabilities[],2,FALSE)&gt;0,"Y",""),"")</f>
        <v/>
      </c>
      <c r="H34" s="72" t="str">
        <f>IFERROR(IF(VLOOKUP(TableHandbook[[#This Row],[UDC]],TableAvailabilities[],3,FALSE)&gt;0,"Y",""),"")</f>
        <v>Y</v>
      </c>
      <c r="I34" s="72" t="str">
        <f>IFERROR(IF(VLOOKUP(TableHandbook[[#This Row],[UDC]],TableAvailabilities[],4,FALSE)&gt;0,"Y",""),"")</f>
        <v/>
      </c>
      <c r="J34" s="72" t="str">
        <f>IFERROR(IF(VLOOKUP(TableHandbook[[#This Row],[UDC]],TableAvailabilities[],5,FALSE)&gt;0,"Y",""),"")</f>
        <v>Y</v>
      </c>
      <c r="K34" s="75"/>
      <c r="L34" s="73" t="str">
        <f>IFERROR(VLOOKUP(TableHandbook[[#This Row],[UDC]],TableOBCONMN[],7,FALSE),"")</f>
        <v/>
      </c>
      <c r="M34" s="73" t="str">
        <f>IFERROR(VLOOKUP(TableHandbook[[#This Row],[UDC]],TableOUSHCONMN[],7,FALSE),"")</f>
        <v>Core</v>
      </c>
      <c r="N34" s="73" t="str">
        <f>IFERROR(VLOOKUP(TableHandbook[[#This Row],[UDC]],TableOUSUCONMN[],7,FALSE),"")</f>
        <v>Core</v>
      </c>
      <c r="O34" s="73" t="str">
        <f>IFERROR(VLOOKUP(TableHandbook[[#This Row],[UDC]],TableOSCUANGAD[],7,FALSE),"")</f>
        <v/>
      </c>
      <c r="P34" s="73" t="str">
        <f>IFERROR(VLOOKUP(TableHandbook[[#This Row],[UDC]],TableOSCUINARS[],7,FALSE),"")</f>
        <v/>
      </c>
      <c r="Q34" s="73" t="str">
        <f>IFERROR(VLOOKUP(TableHandbook[[#This Row],[UDC]],TableOSCUPLGEO[],7,FALSE),"")</f>
        <v/>
      </c>
    </row>
    <row r="35" spans="1:17" x14ac:dyDescent="0.25">
      <c r="A35" t="s">
        <v>153</v>
      </c>
      <c r="B35" s="2">
        <v>1</v>
      </c>
      <c r="C35" s="2" t="s">
        <v>273</v>
      </c>
      <c r="D35" s="75" t="s">
        <v>274</v>
      </c>
      <c r="E35" s="2">
        <v>25</v>
      </c>
      <c r="F35" s="95" t="s">
        <v>275</v>
      </c>
      <c r="G35" s="72" t="str">
        <f>IFERROR(IF(VLOOKUP(TableHandbook[[#This Row],[UDC]],TableAvailabilities[],2,FALSE)&gt;0,"Y",""),"")</f>
        <v/>
      </c>
      <c r="H35" s="72" t="str">
        <f>IFERROR(IF(VLOOKUP(TableHandbook[[#This Row],[UDC]],TableAvailabilities[],3,FALSE)&gt;0,"Y",""),"")</f>
        <v>Y</v>
      </c>
      <c r="I35" s="72" t="str">
        <f>IFERROR(IF(VLOOKUP(TableHandbook[[#This Row],[UDC]],TableAvailabilities[],4,FALSE)&gt;0,"Y",""),"")</f>
        <v/>
      </c>
      <c r="J35" s="72" t="str">
        <f>IFERROR(IF(VLOOKUP(TableHandbook[[#This Row],[UDC]],TableAvailabilities[],5,FALSE)&gt;0,"Y",""),"")</f>
        <v>Y</v>
      </c>
      <c r="K35" s="75"/>
      <c r="L35" s="73" t="str">
        <f>IFERROR(VLOOKUP(TableHandbook[[#This Row],[UDC]],TableOBCONMN[],7,FALSE),"")</f>
        <v/>
      </c>
      <c r="M35" s="73" t="str">
        <f>IFERROR(VLOOKUP(TableHandbook[[#This Row],[UDC]],TableOUSHCONMN[],7,FALSE),"")</f>
        <v>Core</v>
      </c>
      <c r="N35" s="73" t="str">
        <f>IFERROR(VLOOKUP(TableHandbook[[#This Row],[UDC]],TableOUSUCONMN[],7,FALSE),"")</f>
        <v>Core</v>
      </c>
      <c r="O35" s="73" t="str">
        <f>IFERROR(VLOOKUP(TableHandbook[[#This Row],[UDC]],TableOSCUANGAD[],7,FALSE),"")</f>
        <v/>
      </c>
      <c r="P35" s="73" t="str">
        <f>IFERROR(VLOOKUP(TableHandbook[[#This Row],[UDC]],TableOSCUINARS[],7,FALSE),"")</f>
        <v/>
      </c>
      <c r="Q35" s="73" t="str">
        <f>IFERROR(VLOOKUP(TableHandbook[[#This Row],[UDC]],TableOSCUPLGEO[],7,FALSE),"")</f>
        <v/>
      </c>
    </row>
    <row r="36" spans="1:17" x14ac:dyDescent="0.25">
      <c r="A36" t="s">
        <v>158</v>
      </c>
      <c r="B36" s="2">
        <v>1</v>
      </c>
      <c r="C36" s="2" t="s">
        <v>276</v>
      </c>
      <c r="D36" s="75" t="s">
        <v>277</v>
      </c>
      <c r="E36" s="2">
        <v>50</v>
      </c>
      <c r="F36" s="95" t="s">
        <v>269</v>
      </c>
      <c r="G36" s="72" t="str">
        <f>IFERROR(IF(VLOOKUP(TableHandbook[[#This Row],[UDC]],TableAvailabilities[],2,FALSE)&gt;0,"Y",""),"")</f>
        <v>Y</v>
      </c>
      <c r="H36" s="72" t="str">
        <f>IFERROR(IF(VLOOKUP(TableHandbook[[#This Row],[UDC]],TableAvailabilities[],3,FALSE)&gt;0,"Y",""),"")</f>
        <v/>
      </c>
      <c r="I36" s="72" t="str">
        <f>IFERROR(IF(VLOOKUP(TableHandbook[[#This Row],[UDC]],TableAvailabilities[],4,FALSE)&gt;0,"Y",""),"")</f>
        <v>Y</v>
      </c>
      <c r="J36" s="72" t="str">
        <f>IFERROR(IF(VLOOKUP(TableHandbook[[#This Row],[UDC]],TableAvailabilities[],5,FALSE)&gt;0,"Y",""),"")</f>
        <v/>
      </c>
      <c r="K36" s="75"/>
      <c r="L36" s="73" t="str">
        <f>IFERROR(VLOOKUP(TableHandbook[[#This Row],[UDC]],TableOBCONMN[],7,FALSE),"")</f>
        <v/>
      </c>
      <c r="M36" s="73" t="str">
        <f>IFERROR(VLOOKUP(TableHandbook[[#This Row],[UDC]],TableOUSHCONMN[],7,FALSE),"")</f>
        <v/>
      </c>
      <c r="N36" s="73" t="str">
        <f>IFERROR(VLOOKUP(TableHandbook[[#This Row],[UDC]],TableOUSUCONMN[],7,FALSE),"")</f>
        <v>Core</v>
      </c>
      <c r="O36" s="73" t="str">
        <f>IFERROR(VLOOKUP(TableHandbook[[#This Row],[UDC]],TableOSCUANGAD[],7,FALSE),"")</f>
        <v/>
      </c>
      <c r="P36" s="73" t="str">
        <f>IFERROR(VLOOKUP(TableHandbook[[#This Row],[UDC]],TableOSCUINARS[],7,FALSE),"")</f>
        <v/>
      </c>
      <c r="Q36" s="73" t="str">
        <f>IFERROR(VLOOKUP(TableHandbook[[#This Row],[UDC]],TableOSCUPLGEO[],7,FALSE),"")</f>
        <v/>
      </c>
    </row>
    <row r="37" spans="1:17" x14ac:dyDescent="0.25">
      <c r="A37" t="s">
        <v>148</v>
      </c>
      <c r="B37" s="2">
        <v>1</v>
      </c>
      <c r="C37" s="2" t="s">
        <v>278</v>
      </c>
      <c r="D37" s="75" t="s">
        <v>279</v>
      </c>
      <c r="E37" s="2">
        <v>25</v>
      </c>
      <c r="F37" s="95" t="s">
        <v>248</v>
      </c>
      <c r="G37" s="72" t="str">
        <f>IFERROR(IF(VLOOKUP(TableHandbook[[#This Row],[UDC]],TableAvailabilities[],2,FALSE)&gt;0,"Y",""),"")</f>
        <v/>
      </c>
      <c r="H37" s="72" t="str">
        <f>IFERROR(IF(VLOOKUP(TableHandbook[[#This Row],[UDC]],TableAvailabilities[],3,FALSE)&gt;0,"Y",""),"")</f>
        <v>Y</v>
      </c>
      <c r="I37" s="72" t="str">
        <f>IFERROR(IF(VLOOKUP(TableHandbook[[#This Row],[UDC]],TableAvailabilities[],4,FALSE)&gt;0,"Y",""),"")</f>
        <v/>
      </c>
      <c r="J37" s="72" t="str">
        <f>IFERROR(IF(VLOOKUP(TableHandbook[[#This Row],[UDC]],TableAvailabilities[],5,FALSE)&gt;0,"Y",""),"")</f>
        <v>Y</v>
      </c>
      <c r="K37" s="75"/>
      <c r="L37" s="73" t="str">
        <f>IFERROR(VLOOKUP(TableHandbook[[#This Row],[UDC]],TableOBCONMN[],7,FALSE),"")</f>
        <v/>
      </c>
      <c r="M37" s="73" t="str">
        <f>IFERROR(VLOOKUP(TableHandbook[[#This Row],[UDC]],TableOUSHCONMN[],7,FALSE),"")</f>
        <v>Core</v>
      </c>
      <c r="N37" s="73" t="str">
        <f>IFERROR(VLOOKUP(TableHandbook[[#This Row],[UDC]],TableOUSUCONMN[],7,FALSE),"")</f>
        <v>Core</v>
      </c>
      <c r="O37" s="73" t="str">
        <f>IFERROR(VLOOKUP(TableHandbook[[#This Row],[UDC]],TableOSCUANGAD[],7,FALSE),"")</f>
        <v/>
      </c>
      <c r="P37" s="73" t="str">
        <f>IFERROR(VLOOKUP(TableHandbook[[#This Row],[UDC]],TableOSCUINARS[],7,FALSE),"")</f>
        <v/>
      </c>
      <c r="Q37" s="73" t="str">
        <f>IFERROR(VLOOKUP(TableHandbook[[#This Row],[UDC]],TableOSCUPLGEO[],7,FALSE),"")</f>
        <v/>
      </c>
    </row>
    <row r="38" spans="1:17" x14ac:dyDescent="0.25">
      <c r="A38" t="s">
        <v>55</v>
      </c>
      <c r="B38" s="2">
        <v>1</v>
      </c>
      <c r="C38" s="2" t="s">
        <v>280</v>
      </c>
      <c r="D38" s="75" t="s">
        <v>281</v>
      </c>
      <c r="E38" s="2">
        <v>25</v>
      </c>
      <c r="F38" s="71" t="s">
        <v>222</v>
      </c>
      <c r="G38" s="72" t="str">
        <f>IFERROR(IF(VLOOKUP(TableHandbook[[#This Row],[UDC]],TableAvailabilities[],2,FALSE)&gt;0,"Y",""),"")</f>
        <v>Y</v>
      </c>
      <c r="H38" s="72" t="str">
        <f>IFERROR(IF(VLOOKUP(TableHandbook[[#This Row],[UDC]],TableAvailabilities[],3,FALSE)&gt;0,"Y",""),"")</f>
        <v>Y</v>
      </c>
      <c r="I38" s="72" t="str">
        <f>IFERROR(IF(VLOOKUP(TableHandbook[[#This Row],[UDC]],TableAvailabilities[],4,FALSE)&gt;0,"Y",""),"")</f>
        <v>Y</v>
      </c>
      <c r="J38" s="72" t="str">
        <f>IFERROR(IF(VLOOKUP(TableHandbook[[#This Row],[UDC]],TableAvailabilities[],5,FALSE)&gt;0,"Y",""),"")</f>
        <v>Y</v>
      </c>
      <c r="K38" s="75"/>
      <c r="L38" s="73" t="str">
        <f>IFERROR(VLOOKUP(TableHandbook[[#This Row],[UDC]],TableOBCONMN[],7,FALSE),"")</f>
        <v>Core</v>
      </c>
      <c r="M38" s="73" t="str">
        <f>IFERROR(VLOOKUP(TableHandbook[[#This Row],[UDC]],TableOUSHCONMN[],7,FALSE),"")</f>
        <v/>
      </c>
      <c r="N38" s="73" t="str">
        <f>IFERROR(VLOOKUP(TableHandbook[[#This Row],[UDC]],TableOUSUCONMN[],7,FALSE),"")</f>
        <v/>
      </c>
      <c r="O38" s="73" t="str">
        <f>IFERROR(VLOOKUP(TableHandbook[[#This Row],[UDC]],TableOSCUANGAD[],7,FALSE),"")</f>
        <v/>
      </c>
      <c r="P38" s="73" t="str">
        <f>IFERROR(VLOOKUP(TableHandbook[[#This Row],[UDC]],TableOSCUINARS[],7,FALSE),"")</f>
        <v/>
      </c>
      <c r="Q38" s="73" t="str">
        <f>IFERROR(VLOOKUP(TableHandbook[[#This Row],[UDC]],TableOSCUPLGEO[],7,FALSE),"")</f>
        <v/>
      </c>
    </row>
    <row r="39" spans="1:17" x14ac:dyDescent="0.25">
      <c r="A39" t="s">
        <v>190</v>
      </c>
      <c r="B39" s="2">
        <v>2</v>
      </c>
      <c r="C39" s="2" t="s">
        <v>282</v>
      </c>
      <c r="D39" s="75" t="s">
        <v>283</v>
      </c>
      <c r="E39" s="2">
        <v>25</v>
      </c>
      <c r="F39" s="71" t="s">
        <v>222</v>
      </c>
      <c r="G39" s="72" t="str">
        <f>IFERROR(IF(VLOOKUP(TableHandbook[[#This Row],[UDC]],TableAvailabilities[],2,FALSE)&gt;0,"Y",""),"")</f>
        <v>Y</v>
      </c>
      <c r="H39" s="72" t="str">
        <f>IFERROR(IF(VLOOKUP(TableHandbook[[#This Row],[UDC]],TableAvailabilities[],3,FALSE)&gt;0,"Y",""),"")</f>
        <v/>
      </c>
      <c r="I39" s="72" t="str">
        <f>IFERROR(IF(VLOOKUP(TableHandbook[[#This Row],[UDC]],TableAvailabilities[],4,FALSE)&gt;0,"Y",""),"")</f>
        <v/>
      </c>
      <c r="J39" s="72" t="str">
        <f>IFERROR(IF(VLOOKUP(TableHandbook[[#This Row],[UDC]],TableAvailabilities[],5,FALSE)&gt;0,"Y",""),"")</f>
        <v/>
      </c>
      <c r="K39" s="75"/>
      <c r="L39" s="73" t="str">
        <f>IFERROR(VLOOKUP(TableHandbook[[#This Row],[UDC]],TableOBCONMN[],7,FALSE),"")</f>
        <v/>
      </c>
      <c r="M39" s="73" t="str">
        <f>IFERROR(VLOOKUP(TableHandbook[[#This Row],[UDC]],TableOUSHCONMN[],7,FALSE),"")</f>
        <v/>
      </c>
      <c r="N39" s="73" t="str">
        <f>IFERROR(VLOOKUP(TableHandbook[[#This Row],[UDC]],TableOUSUCONMN[],7,FALSE),"")</f>
        <v/>
      </c>
      <c r="O39" s="73" t="str">
        <f>IFERROR(VLOOKUP(TableHandbook[[#This Row],[UDC]],TableOSCUANGAD[],7,FALSE),"")</f>
        <v/>
      </c>
      <c r="P39" s="73" t="str">
        <f>IFERROR(VLOOKUP(TableHandbook[[#This Row],[UDC]],TableOSCUINARS[],7,FALSE),"")</f>
        <v/>
      </c>
      <c r="Q39" s="73" t="str">
        <f>IFERROR(VLOOKUP(TableHandbook[[#This Row],[UDC]],TableOSCUPLGEO[],7,FALSE),"")</f>
        <v>AltCore</v>
      </c>
    </row>
    <row r="40" spans="1:17" x14ac:dyDescent="0.25">
      <c r="A40" t="s">
        <v>170</v>
      </c>
      <c r="B40" s="2">
        <v>1</v>
      </c>
      <c r="C40" s="2" t="s">
        <v>284</v>
      </c>
      <c r="D40" s="75" t="s">
        <v>285</v>
      </c>
      <c r="E40" s="2">
        <v>25</v>
      </c>
      <c r="F40" s="71" t="s">
        <v>222</v>
      </c>
      <c r="G40" s="72" t="str">
        <f>IFERROR(IF(VLOOKUP(TableHandbook[[#This Row],[UDC]],TableAvailabilities[],2,FALSE)&gt;0,"Y",""),"")</f>
        <v/>
      </c>
      <c r="H40" s="72" t="str">
        <f>IFERROR(IF(VLOOKUP(TableHandbook[[#This Row],[UDC]],TableAvailabilities[],3,FALSE)&gt;0,"Y",""),"")</f>
        <v>Y</v>
      </c>
      <c r="I40" s="72" t="str">
        <f>IFERROR(IF(VLOOKUP(TableHandbook[[#This Row],[UDC]],TableAvailabilities[],4,FALSE)&gt;0,"Y",""),"")</f>
        <v/>
      </c>
      <c r="J40" s="72" t="str">
        <f>IFERROR(IF(VLOOKUP(TableHandbook[[#This Row],[UDC]],TableAvailabilities[],5,FALSE)&gt;0,"Y",""),"")</f>
        <v>Y</v>
      </c>
      <c r="K40" s="75"/>
      <c r="L40" s="73" t="str">
        <f>IFERROR(VLOOKUP(TableHandbook[[#This Row],[UDC]],TableOBCONMN[],7,FALSE),"")</f>
        <v/>
      </c>
      <c r="M40" s="73" t="str">
        <f>IFERROR(VLOOKUP(TableHandbook[[#This Row],[UDC]],TableOUSHCONMN[],7,FALSE),"")</f>
        <v/>
      </c>
      <c r="N40" s="73" t="str">
        <f>IFERROR(VLOOKUP(TableHandbook[[#This Row],[UDC]],TableOUSUCONMN[],7,FALSE),"")</f>
        <v/>
      </c>
      <c r="O40" s="73" t="str">
        <f>IFERROR(VLOOKUP(TableHandbook[[#This Row],[UDC]],TableOSCUANGAD[],7,FALSE),"")</f>
        <v>Core</v>
      </c>
      <c r="P40" s="73" t="str">
        <f>IFERROR(VLOOKUP(TableHandbook[[#This Row],[UDC]],TableOSCUINARS[],7,FALSE),"")</f>
        <v/>
      </c>
      <c r="Q40" s="73" t="str">
        <f>IFERROR(VLOOKUP(TableHandbook[[#This Row],[UDC]],TableOSCUPLGEO[],7,FALSE),"")</f>
        <v/>
      </c>
    </row>
    <row r="41" spans="1:17" x14ac:dyDescent="0.25">
      <c r="A41" t="s">
        <v>174</v>
      </c>
      <c r="B41" s="2">
        <v>1</v>
      </c>
      <c r="C41" s="2" t="s">
        <v>286</v>
      </c>
      <c r="D41" s="75" t="s">
        <v>287</v>
      </c>
      <c r="E41" s="2">
        <v>25</v>
      </c>
      <c r="F41" s="95" t="s">
        <v>288</v>
      </c>
      <c r="G41" s="72" t="str">
        <f>IFERROR(IF(VLOOKUP(TableHandbook[[#This Row],[UDC]],TableAvailabilities[],2,FALSE)&gt;0,"Y",""),"")</f>
        <v>Y</v>
      </c>
      <c r="H41" s="72" t="str">
        <f>IFERROR(IF(VLOOKUP(TableHandbook[[#This Row],[UDC]],TableAvailabilities[],3,FALSE)&gt;0,"Y",""),"")</f>
        <v/>
      </c>
      <c r="I41" s="72" t="str">
        <f>IFERROR(IF(VLOOKUP(TableHandbook[[#This Row],[UDC]],TableAvailabilities[],4,FALSE)&gt;0,"Y",""),"")</f>
        <v>Y</v>
      </c>
      <c r="J41" s="72" t="str">
        <f>IFERROR(IF(VLOOKUP(TableHandbook[[#This Row],[UDC]],TableAvailabilities[],5,FALSE)&gt;0,"Y",""),"")</f>
        <v/>
      </c>
      <c r="K41" s="75"/>
      <c r="L41" s="73" t="str">
        <f>IFERROR(VLOOKUP(TableHandbook[[#This Row],[UDC]],TableOBCONMN[],7,FALSE),"")</f>
        <v/>
      </c>
      <c r="M41" s="73" t="str">
        <f>IFERROR(VLOOKUP(TableHandbook[[#This Row],[UDC]],TableOUSHCONMN[],7,FALSE),"")</f>
        <v/>
      </c>
      <c r="N41" s="73" t="str">
        <f>IFERROR(VLOOKUP(TableHandbook[[#This Row],[UDC]],TableOUSUCONMN[],7,FALSE),"")</f>
        <v/>
      </c>
      <c r="O41" s="73" t="str">
        <f>IFERROR(VLOOKUP(TableHandbook[[#This Row],[UDC]],TableOSCUANGAD[],7,FALSE),"")</f>
        <v>Core</v>
      </c>
      <c r="P41" s="73" t="str">
        <f>IFERROR(VLOOKUP(TableHandbook[[#This Row],[UDC]],TableOSCUINARS[],7,FALSE),"")</f>
        <v/>
      </c>
      <c r="Q41" s="73" t="str">
        <f>IFERROR(VLOOKUP(TableHandbook[[#This Row],[UDC]],TableOSCUPLGEO[],7,FALSE),"")</f>
        <v/>
      </c>
    </row>
    <row r="42" spans="1:17" x14ac:dyDescent="0.25">
      <c r="A42" t="s">
        <v>178</v>
      </c>
      <c r="B42" s="2">
        <v>1</v>
      </c>
      <c r="C42" s="2" t="s">
        <v>289</v>
      </c>
      <c r="D42" s="75" t="s">
        <v>290</v>
      </c>
      <c r="E42" s="2">
        <v>25</v>
      </c>
      <c r="F42" s="71" t="s">
        <v>222</v>
      </c>
      <c r="G42" s="72" t="str">
        <f>IFERROR(IF(VLOOKUP(TableHandbook[[#This Row],[UDC]],TableAvailabilities[],2,FALSE)&gt;0,"Y",""),"")</f>
        <v/>
      </c>
      <c r="H42" s="72" t="str">
        <f>IFERROR(IF(VLOOKUP(TableHandbook[[#This Row],[UDC]],TableAvailabilities[],3,FALSE)&gt;0,"Y",""),"")</f>
        <v>Y</v>
      </c>
      <c r="I42" s="72" t="str">
        <f>IFERROR(IF(VLOOKUP(TableHandbook[[#This Row],[UDC]],TableAvailabilities[],4,FALSE)&gt;0,"Y",""),"")</f>
        <v/>
      </c>
      <c r="J42" s="72" t="str">
        <f>IFERROR(IF(VLOOKUP(TableHandbook[[#This Row],[UDC]],TableAvailabilities[],5,FALSE)&gt;0,"Y",""),"")</f>
        <v>Y</v>
      </c>
      <c r="K42" s="75"/>
      <c r="L42" s="73" t="str">
        <f>IFERROR(VLOOKUP(TableHandbook[[#This Row],[UDC]],TableOBCONMN[],7,FALSE),"")</f>
        <v/>
      </c>
      <c r="M42" s="73" t="str">
        <f>IFERROR(VLOOKUP(TableHandbook[[#This Row],[UDC]],TableOUSHCONMN[],7,FALSE),"")</f>
        <v/>
      </c>
      <c r="N42" s="73" t="str">
        <f>IFERROR(VLOOKUP(TableHandbook[[#This Row],[UDC]],TableOUSUCONMN[],7,FALSE),"")</f>
        <v/>
      </c>
      <c r="O42" s="73" t="str">
        <f>IFERROR(VLOOKUP(TableHandbook[[#This Row],[UDC]],TableOSCUANGAD[],7,FALSE),"")</f>
        <v>Core</v>
      </c>
      <c r="P42" s="73" t="str">
        <f>IFERROR(VLOOKUP(TableHandbook[[#This Row],[UDC]],TableOSCUINARS[],7,FALSE),"")</f>
        <v/>
      </c>
      <c r="Q42" s="73" t="str">
        <f>IFERROR(VLOOKUP(TableHandbook[[#This Row],[UDC]],TableOSCUPLGEO[],7,FALSE),"")</f>
        <v/>
      </c>
    </row>
    <row r="43" spans="1:17" x14ac:dyDescent="0.25">
      <c r="A43" t="s">
        <v>188</v>
      </c>
      <c r="B43" s="2">
        <v>2</v>
      </c>
      <c r="C43" s="2" t="s">
        <v>291</v>
      </c>
      <c r="D43" s="75" t="s">
        <v>292</v>
      </c>
      <c r="E43" s="2">
        <v>25</v>
      </c>
      <c r="F43" s="95" t="s">
        <v>293</v>
      </c>
      <c r="G43" s="72" t="str">
        <f>IFERROR(IF(VLOOKUP(TableHandbook[[#This Row],[UDC]],TableAvailabilities[],2,FALSE)&gt;0,"Y",""),"")</f>
        <v>Y</v>
      </c>
      <c r="H43" s="72" t="str">
        <f>IFERROR(IF(VLOOKUP(TableHandbook[[#This Row],[UDC]],TableAvailabilities[],3,FALSE)&gt;0,"Y",""),"")</f>
        <v/>
      </c>
      <c r="I43" s="72" t="str">
        <f>IFERROR(IF(VLOOKUP(TableHandbook[[#This Row],[UDC]],TableAvailabilities[],4,FALSE)&gt;0,"Y",""),"")</f>
        <v>Y</v>
      </c>
      <c r="J43" s="72" t="str">
        <f>IFERROR(IF(VLOOKUP(TableHandbook[[#This Row],[UDC]],TableAvailabilities[],5,FALSE)&gt;0,"Y",""),"")</f>
        <v/>
      </c>
      <c r="K43" s="96" t="s">
        <v>294</v>
      </c>
      <c r="L43" s="73" t="str">
        <f>IFERROR(VLOOKUP(TableHandbook[[#This Row],[UDC]],TableOBCONMN[],7,FALSE),"")</f>
        <v/>
      </c>
      <c r="M43" s="73" t="str">
        <f>IFERROR(VLOOKUP(TableHandbook[[#This Row],[UDC]],TableOUSHCONMN[],7,FALSE),"")</f>
        <v/>
      </c>
      <c r="N43" s="73" t="str">
        <f>IFERROR(VLOOKUP(TableHandbook[[#This Row],[UDC]],TableOUSUCONMN[],7,FALSE),"")</f>
        <v/>
      </c>
      <c r="O43" s="73" t="str">
        <f>IFERROR(VLOOKUP(TableHandbook[[#This Row],[UDC]],TableOSCUANGAD[],7,FALSE),"")</f>
        <v>AltCore</v>
      </c>
      <c r="P43" s="73" t="str">
        <f>IFERROR(VLOOKUP(TableHandbook[[#This Row],[UDC]],TableOSCUINARS[],7,FALSE),"")</f>
        <v/>
      </c>
      <c r="Q43" s="73" t="str">
        <f>IFERROR(VLOOKUP(TableHandbook[[#This Row],[UDC]],TableOSCUPLGEO[],7,FALSE),"")</f>
        <v/>
      </c>
    </row>
    <row r="44" spans="1:17" x14ac:dyDescent="0.25">
      <c r="A44" t="s">
        <v>171</v>
      </c>
      <c r="B44" s="2">
        <v>4</v>
      </c>
      <c r="C44" s="2" t="s">
        <v>295</v>
      </c>
      <c r="D44" s="75" t="s">
        <v>296</v>
      </c>
      <c r="E44" s="2">
        <v>25</v>
      </c>
      <c r="F44" s="71" t="s">
        <v>222</v>
      </c>
      <c r="G44" s="72" t="str">
        <f>IFERROR(IF(VLOOKUP(TableHandbook[[#This Row],[UDC]],TableAvailabilities[],2,FALSE)&gt;0,"Y",""),"")</f>
        <v>Y</v>
      </c>
      <c r="H44" s="72" t="str">
        <f>IFERROR(IF(VLOOKUP(TableHandbook[[#This Row],[UDC]],TableAvailabilities[],3,FALSE)&gt;0,"Y",""),"")</f>
        <v/>
      </c>
      <c r="I44" s="72" t="str">
        <f>IFERROR(IF(VLOOKUP(TableHandbook[[#This Row],[UDC]],TableAvailabilities[],4,FALSE)&gt;0,"Y",""),"")</f>
        <v/>
      </c>
      <c r="J44" s="72" t="str">
        <f>IFERROR(IF(VLOOKUP(TableHandbook[[#This Row],[UDC]],TableAvailabilities[],5,FALSE)&gt;0,"Y",""),"")</f>
        <v/>
      </c>
      <c r="K44" s="75"/>
      <c r="L44" s="73" t="str">
        <f>IFERROR(VLOOKUP(TableHandbook[[#This Row],[UDC]],TableOBCONMN[],7,FALSE),"")</f>
        <v/>
      </c>
      <c r="M44" s="73" t="str">
        <f>IFERROR(VLOOKUP(TableHandbook[[#This Row],[UDC]],TableOUSHCONMN[],7,FALSE),"")</f>
        <v/>
      </c>
      <c r="N44" s="73" t="str">
        <f>IFERROR(VLOOKUP(TableHandbook[[#This Row],[UDC]],TableOUSUCONMN[],7,FALSE),"")</f>
        <v/>
      </c>
      <c r="O44" s="73" t="str">
        <f>IFERROR(VLOOKUP(TableHandbook[[#This Row],[UDC]],TableOSCUANGAD[],7,FALSE),"")</f>
        <v/>
      </c>
      <c r="P44" s="73" t="str">
        <f>IFERROR(VLOOKUP(TableHandbook[[#This Row],[UDC]],TableOSCUINARS[],7,FALSE),"")</f>
        <v>AltCore</v>
      </c>
      <c r="Q44" s="73" t="str">
        <f>IFERROR(VLOOKUP(TableHandbook[[#This Row],[UDC]],TableOSCUPLGEO[],7,FALSE),"")</f>
        <v/>
      </c>
    </row>
    <row r="45" spans="1:17" x14ac:dyDescent="0.25">
      <c r="A45" t="s">
        <v>175</v>
      </c>
      <c r="B45" s="2">
        <v>1</v>
      </c>
      <c r="C45" s="2" t="s">
        <v>297</v>
      </c>
      <c r="D45" s="75" t="s">
        <v>298</v>
      </c>
      <c r="E45" s="2">
        <v>25</v>
      </c>
      <c r="F45" s="71" t="s">
        <v>222</v>
      </c>
      <c r="G45" s="72" t="str">
        <f>IFERROR(IF(VLOOKUP(TableHandbook[[#This Row],[UDC]],TableAvailabilities[],2,FALSE)&gt;0,"Y",""),"")</f>
        <v/>
      </c>
      <c r="H45" s="72" t="str">
        <f>IFERROR(IF(VLOOKUP(TableHandbook[[#This Row],[UDC]],TableAvailabilities[],3,FALSE)&gt;0,"Y",""),"")</f>
        <v/>
      </c>
      <c r="I45" s="72" t="str">
        <f>IFERROR(IF(VLOOKUP(TableHandbook[[#This Row],[UDC]],TableAvailabilities[],4,FALSE)&gt;0,"Y",""),"")</f>
        <v>Y</v>
      </c>
      <c r="J45" s="72" t="str">
        <f>IFERROR(IF(VLOOKUP(TableHandbook[[#This Row],[UDC]],TableAvailabilities[],5,FALSE)&gt;0,"Y",""),"")</f>
        <v/>
      </c>
      <c r="K45" s="75"/>
      <c r="L45" s="73" t="str">
        <f>IFERROR(VLOOKUP(TableHandbook[[#This Row],[UDC]],TableOBCONMN[],7,FALSE),"")</f>
        <v/>
      </c>
      <c r="M45" s="73" t="str">
        <f>IFERROR(VLOOKUP(TableHandbook[[#This Row],[UDC]],TableOUSHCONMN[],7,FALSE),"")</f>
        <v/>
      </c>
      <c r="N45" s="73" t="str">
        <f>IFERROR(VLOOKUP(TableHandbook[[#This Row],[UDC]],TableOUSUCONMN[],7,FALSE),"")</f>
        <v/>
      </c>
      <c r="O45" s="73" t="str">
        <f>IFERROR(VLOOKUP(TableHandbook[[#This Row],[UDC]],TableOSCUANGAD[],7,FALSE),"")</f>
        <v/>
      </c>
      <c r="P45" s="73" t="str">
        <f>IFERROR(VLOOKUP(TableHandbook[[#This Row],[UDC]],TableOSCUINARS[],7,FALSE),"")</f>
        <v>AltCore</v>
      </c>
      <c r="Q45" s="73" t="str">
        <f>IFERROR(VLOOKUP(TableHandbook[[#This Row],[UDC]],TableOSCUPLGEO[],7,FALSE),"")</f>
        <v/>
      </c>
    </row>
    <row r="46" spans="1:17" x14ac:dyDescent="0.25">
      <c r="A46" t="s">
        <v>196</v>
      </c>
      <c r="B46" s="2">
        <v>4</v>
      </c>
      <c r="C46" s="2" t="s">
        <v>299</v>
      </c>
      <c r="D46" s="75" t="s">
        <v>300</v>
      </c>
      <c r="E46" s="2">
        <v>25</v>
      </c>
      <c r="F46" s="95" t="s">
        <v>295</v>
      </c>
      <c r="G46" s="72" t="str">
        <f>IFERROR(IF(VLOOKUP(TableHandbook[[#This Row],[UDC]],TableAvailabilities[],2,FALSE)&gt;0,"Y",""),"")</f>
        <v/>
      </c>
      <c r="H46" s="72" t="str">
        <f>IFERROR(IF(VLOOKUP(TableHandbook[[#This Row],[UDC]],TableAvailabilities[],3,FALSE)&gt;0,"Y",""),"")</f>
        <v/>
      </c>
      <c r="I46" s="72" t="str">
        <f>IFERROR(IF(VLOOKUP(TableHandbook[[#This Row],[UDC]],TableAvailabilities[],4,FALSE)&gt;0,"Y",""),"")</f>
        <v>Y</v>
      </c>
      <c r="J46" s="72" t="str">
        <f>IFERROR(IF(VLOOKUP(TableHandbook[[#This Row],[UDC]],TableAvailabilities[],5,FALSE)&gt;0,"Y",""),"")</f>
        <v/>
      </c>
      <c r="K46" s="75"/>
      <c r="L46" s="73" t="str">
        <f>IFERROR(VLOOKUP(TableHandbook[[#This Row],[UDC]],TableOBCONMN[],7,FALSE),"")</f>
        <v/>
      </c>
      <c r="M46" s="73" t="str">
        <f>IFERROR(VLOOKUP(TableHandbook[[#This Row],[UDC]],TableOUSHCONMN[],7,FALSE),"")</f>
        <v/>
      </c>
      <c r="N46" s="73" t="str">
        <f>IFERROR(VLOOKUP(TableHandbook[[#This Row],[UDC]],TableOUSUCONMN[],7,FALSE),"")</f>
        <v/>
      </c>
      <c r="O46" s="73" t="str">
        <f>IFERROR(VLOOKUP(TableHandbook[[#This Row],[UDC]],TableOSCUANGAD[],7,FALSE),"")</f>
        <v/>
      </c>
      <c r="P46" s="73" t="str">
        <f>IFERROR(VLOOKUP(TableHandbook[[#This Row],[UDC]],TableOSCUINARS[],7,FALSE),"")</f>
        <v>Option</v>
      </c>
      <c r="Q46" s="73" t="str">
        <f>IFERROR(VLOOKUP(TableHandbook[[#This Row],[UDC]],TableOSCUPLGEO[],7,FALSE),"")</f>
        <v/>
      </c>
    </row>
    <row r="47" spans="1:17" x14ac:dyDescent="0.25">
      <c r="A47" t="s">
        <v>185</v>
      </c>
      <c r="B47" s="2">
        <v>1</v>
      </c>
      <c r="C47" s="2" t="s">
        <v>301</v>
      </c>
      <c r="D47" s="75" t="s">
        <v>302</v>
      </c>
      <c r="E47" s="2">
        <v>25</v>
      </c>
      <c r="F47" s="95" t="s">
        <v>241</v>
      </c>
      <c r="G47" s="72" t="str">
        <f>IFERROR(IF(VLOOKUP(TableHandbook[[#This Row],[UDC]],TableAvailabilities[],2,FALSE)&gt;0,"Y",""),"")</f>
        <v/>
      </c>
      <c r="H47" s="72" t="str">
        <f>IFERROR(IF(VLOOKUP(TableHandbook[[#This Row],[UDC]],TableAvailabilities[],3,FALSE)&gt;0,"Y",""),"")</f>
        <v>Y</v>
      </c>
      <c r="I47" s="72" t="str">
        <f>IFERROR(IF(VLOOKUP(TableHandbook[[#This Row],[UDC]],TableAvailabilities[],4,FALSE)&gt;0,"Y",""),"")</f>
        <v/>
      </c>
      <c r="J47" s="72" t="str">
        <f>IFERROR(IF(VLOOKUP(TableHandbook[[#This Row],[UDC]],TableAvailabilities[],5,FALSE)&gt;0,"Y",""),"")</f>
        <v/>
      </c>
      <c r="K47" s="75"/>
      <c r="L47" s="73" t="str">
        <f>IFERROR(VLOOKUP(TableHandbook[[#This Row],[UDC]],TableOBCONMN[],7,FALSE),"")</f>
        <v/>
      </c>
      <c r="M47" s="73" t="str">
        <f>IFERROR(VLOOKUP(TableHandbook[[#This Row],[UDC]],TableOUSHCONMN[],7,FALSE),"")</f>
        <v/>
      </c>
      <c r="N47" s="73" t="str">
        <f>IFERROR(VLOOKUP(TableHandbook[[#This Row],[UDC]],TableOUSUCONMN[],7,FALSE),"")</f>
        <v/>
      </c>
      <c r="O47" s="73" t="str">
        <f>IFERROR(VLOOKUP(TableHandbook[[#This Row],[UDC]],TableOSCUANGAD[],7,FALSE),"")</f>
        <v/>
      </c>
      <c r="P47" s="73" t="str">
        <f>IFERROR(VLOOKUP(TableHandbook[[#This Row],[UDC]],TableOSCUINARS[],7,FALSE),"")</f>
        <v>Core</v>
      </c>
      <c r="Q47" s="73" t="str">
        <f>IFERROR(VLOOKUP(TableHandbook[[#This Row],[UDC]],TableOSCUPLGEO[],7,FALSE),"")</f>
        <v/>
      </c>
    </row>
    <row r="48" spans="1:17" x14ac:dyDescent="0.25">
      <c r="A48" t="s">
        <v>198</v>
      </c>
      <c r="B48" s="2">
        <v>1</v>
      </c>
      <c r="C48" s="2" t="s">
        <v>303</v>
      </c>
      <c r="D48" s="75" t="s">
        <v>304</v>
      </c>
      <c r="E48" s="2">
        <v>25</v>
      </c>
      <c r="F48" s="95" t="s">
        <v>241</v>
      </c>
      <c r="G48" s="72" t="str">
        <f>IFERROR(IF(VLOOKUP(TableHandbook[[#This Row],[UDC]],TableAvailabilities[],2,FALSE)&gt;0,"Y",""),"")</f>
        <v/>
      </c>
      <c r="H48" s="72" t="str">
        <f>IFERROR(IF(VLOOKUP(TableHandbook[[#This Row],[UDC]],TableAvailabilities[],3,FALSE)&gt;0,"Y",""),"")</f>
        <v/>
      </c>
      <c r="I48" s="72" t="str">
        <f>IFERROR(IF(VLOOKUP(TableHandbook[[#This Row],[UDC]],TableAvailabilities[],4,FALSE)&gt;0,"Y",""),"")</f>
        <v>Y</v>
      </c>
      <c r="J48" s="72" t="str">
        <f>IFERROR(IF(VLOOKUP(TableHandbook[[#This Row],[UDC]],TableAvailabilities[],5,FALSE)&gt;0,"Y",""),"")</f>
        <v/>
      </c>
      <c r="K48" s="75"/>
      <c r="L48" s="73" t="str">
        <f>IFERROR(VLOOKUP(TableHandbook[[#This Row],[UDC]],TableOBCONMN[],7,FALSE),"")</f>
        <v/>
      </c>
      <c r="M48" s="73" t="str">
        <f>IFERROR(VLOOKUP(TableHandbook[[#This Row],[UDC]],TableOUSHCONMN[],7,FALSE),"")</f>
        <v/>
      </c>
      <c r="N48" s="73" t="str">
        <f>IFERROR(VLOOKUP(TableHandbook[[#This Row],[UDC]],TableOUSUCONMN[],7,FALSE),"")</f>
        <v/>
      </c>
      <c r="O48" s="73" t="str">
        <f>IFERROR(VLOOKUP(TableHandbook[[#This Row],[UDC]],TableOSCUANGAD[],7,FALSE),"")</f>
        <v/>
      </c>
      <c r="P48" s="73" t="str">
        <f>IFERROR(VLOOKUP(TableHandbook[[#This Row],[UDC]],TableOSCUINARS[],7,FALSE),"")</f>
        <v>Option</v>
      </c>
      <c r="Q48" s="73" t="str">
        <f>IFERROR(VLOOKUP(TableHandbook[[#This Row],[UDC]],TableOSCUPLGEO[],7,FALSE),"")</f>
        <v/>
      </c>
    </row>
    <row r="49" spans="1:17" x14ac:dyDescent="0.25">
      <c r="A49" t="s">
        <v>189</v>
      </c>
      <c r="B49" s="2">
        <v>1</v>
      </c>
      <c r="C49" s="2" t="s">
        <v>305</v>
      </c>
      <c r="D49" s="75" t="s">
        <v>419</v>
      </c>
      <c r="E49" s="2">
        <v>25</v>
      </c>
      <c r="F49" s="95" t="s">
        <v>255</v>
      </c>
      <c r="G49" s="72" t="str">
        <f>IFERROR(IF(VLOOKUP(TableHandbook[[#This Row],[UDC]],TableAvailabilities[],2,FALSE)&gt;0,"Y",""),"")</f>
        <v>Y</v>
      </c>
      <c r="H49" s="72" t="str">
        <f>IFERROR(IF(VLOOKUP(TableHandbook[[#This Row],[UDC]],TableAvailabilities[],3,FALSE)&gt;0,"Y",""),"")</f>
        <v/>
      </c>
      <c r="I49" s="72" t="str">
        <f>IFERROR(IF(VLOOKUP(TableHandbook[[#This Row],[UDC]],TableAvailabilities[],4,FALSE)&gt;0,"Y",""),"")</f>
        <v/>
      </c>
      <c r="J49" s="72" t="str">
        <f>IFERROR(IF(VLOOKUP(TableHandbook[[#This Row],[UDC]],TableAvailabilities[],5,FALSE)&gt;0,"Y",""),"")</f>
        <v/>
      </c>
      <c r="K49" s="93"/>
      <c r="L49" s="73" t="str">
        <f>IFERROR(VLOOKUP(TableHandbook[[#This Row],[UDC]],TableOBCONMN[],7,FALSE),"")</f>
        <v/>
      </c>
      <c r="M49" s="73" t="str">
        <f>IFERROR(VLOOKUP(TableHandbook[[#This Row],[UDC]],TableOUSHCONMN[],7,FALSE),"")</f>
        <v/>
      </c>
      <c r="N49" s="73" t="str">
        <f>IFERROR(VLOOKUP(TableHandbook[[#This Row],[UDC]],TableOUSUCONMN[],7,FALSE),"")</f>
        <v/>
      </c>
      <c r="O49" s="73" t="str">
        <f>IFERROR(VLOOKUP(TableHandbook[[#This Row],[UDC]],TableOSCUANGAD[],7,FALSE),"")</f>
        <v/>
      </c>
      <c r="P49" s="73" t="str">
        <f>IFERROR(VLOOKUP(TableHandbook[[#This Row],[UDC]],TableOSCUINARS[],7,FALSE),"")</f>
        <v>Core</v>
      </c>
      <c r="Q49" s="73" t="str">
        <f>IFERROR(VLOOKUP(TableHandbook[[#This Row],[UDC]],TableOSCUPLGEO[],7,FALSE),"")</f>
        <v/>
      </c>
    </row>
    <row r="50" spans="1:17" x14ac:dyDescent="0.25">
      <c r="A50" t="s">
        <v>194</v>
      </c>
      <c r="B50" s="2">
        <v>0</v>
      </c>
      <c r="C50" s="2"/>
      <c r="D50" s="75" t="s">
        <v>306</v>
      </c>
      <c r="E50" s="2" t="s">
        <v>307</v>
      </c>
      <c r="F50" s="71"/>
      <c r="G50" s="72" t="str">
        <f>IFERROR(IF(VLOOKUP(TableHandbook[[#This Row],[UDC]],TableAvailabilities[],2,FALSE)&gt;0,"Y",""),"")</f>
        <v/>
      </c>
      <c r="H50" s="72" t="str">
        <f>IFERROR(IF(VLOOKUP(TableHandbook[[#This Row],[UDC]],TableAvailabilities[],3,FALSE)&gt;0,"Y",""),"")</f>
        <v/>
      </c>
      <c r="I50" s="72" t="str">
        <f>IFERROR(IF(VLOOKUP(TableHandbook[[#This Row],[UDC]],TableAvailabilities[],4,FALSE)&gt;0,"Y",""),"")</f>
        <v/>
      </c>
      <c r="J50" s="72" t="str">
        <f>IFERROR(IF(VLOOKUP(TableHandbook[[#This Row],[UDC]],TableAvailabilities[],5,FALSE)&gt;0,"Y",""),"")</f>
        <v/>
      </c>
      <c r="K50" s="75"/>
      <c r="L50" s="73" t="str">
        <f>IFERROR(VLOOKUP(TableHandbook[[#This Row],[UDC]],TableOBCONMN[],7,FALSE),"")</f>
        <v/>
      </c>
      <c r="M50" s="73" t="str">
        <f>IFERROR(VLOOKUP(TableHandbook[[#This Row],[UDC]],TableOUSHCONMN[],7,FALSE),"")</f>
        <v/>
      </c>
      <c r="N50" s="73" t="str">
        <f>IFERROR(VLOOKUP(TableHandbook[[#This Row],[UDC]],TableOUSUCONMN[],7,FALSE),"")</f>
        <v/>
      </c>
      <c r="O50" s="73" t="str">
        <f>IFERROR(VLOOKUP(TableHandbook[[#This Row],[UDC]],TableOSCUANGAD[],7,FALSE),"")</f>
        <v/>
      </c>
      <c r="P50" s="73" t="str">
        <f>IFERROR(VLOOKUP(TableHandbook[[#This Row],[UDC]],TableOSCUINARS[],7,FALSE),"")</f>
        <v>Option</v>
      </c>
      <c r="Q50" s="73" t="str">
        <f>IFERROR(VLOOKUP(TableHandbook[[#This Row],[UDC]],TableOSCUPLGEO[],7,FALSE),"")</f>
        <v/>
      </c>
    </row>
    <row r="51" spans="1:17" x14ac:dyDescent="0.25">
      <c r="A51" t="s">
        <v>122</v>
      </c>
      <c r="B51" s="2">
        <v>1</v>
      </c>
      <c r="C51" s="2"/>
      <c r="D51" s="75" t="s">
        <v>121</v>
      </c>
      <c r="E51" s="2">
        <v>100</v>
      </c>
      <c r="F51" s="71"/>
      <c r="G51" s="72" t="str">
        <f>IFERROR(IF(VLOOKUP(TableHandbook[[#This Row],[UDC]],TableAvailabilities[],2,FALSE)&gt;0,"Y",""),"")</f>
        <v/>
      </c>
      <c r="H51" s="72" t="str">
        <f>IFERROR(IF(VLOOKUP(TableHandbook[[#This Row],[UDC]],TableAvailabilities[],3,FALSE)&gt;0,"Y",""),"")</f>
        <v/>
      </c>
      <c r="I51" s="72" t="str">
        <f>IFERROR(IF(VLOOKUP(TableHandbook[[#This Row],[UDC]],TableAvailabilities[],4,FALSE)&gt;0,"Y",""),"")</f>
        <v/>
      </c>
      <c r="J51" s="72" t="str">
        <f>IFERROR(IF(VLOOKUP(TableHandbook[[#This Row],[UDC]],TableAvailabilities[],5,FALSE)&gt;0,"Y",""),"")</f>
        <v/>
      </c>
      <c r="K51" s="75" t="s">
        <v>308</v>
      </c>
      <c r="L51" s="73" t="str">
        <f>IFERROR(VLOOKUP(TableHandbook[[#This Row],[UDC]],TableOBCONMN[],7,FALSE),"")</f>
        <v>Option</v>
      </c>
      <c r="M51" s="73" t="str">
        <f>IFERROR(VLOOKUP(TableHandbook[[#This Row],[UDC]],TableOUSHCONMN[],7,FALSE),"")</f>
        <v/>
      </c>
      <c r="N51" s="73" t="str">
        <f>IFERROR(VLOOKUP(TableHandbook[[#This Row],[UDC]],TableOUSUCONMN[],7,FALSE),"")</f>
        <v/>
      </c>
      <c r="O51" s="73" t="str">
        <f>IFERROR(VLOOKUP(TableHandbook[[#This Row],[UDC]],TableOSCUANGAD[],7,FALSE),"")</f>
        <v/>
      </c>
      <c r="P51" s="73" t="str">
        <f>IFERROR(VLOOKUP(TableHandbook[[#This Row],[UDC]],TableOSCUINARS[],7,FALSE),"")</f>
        <v/>
      </c>
      <c r="Q51" s="73" t="str">
        <f>IFERROR(VLOOKUP(TableHandbook[[#This Row],[UDC]],TableOSCUPLGEO[],7,FALSE),"")</f>
        <v/>
      </c>
    </row>
    <row r="52" spans="1:17" x14ac:dyDescent="0.25">
      <c r="A52" t="s">
        <v>127</v>
      </c>
      <c r="B52" s="2">
        <v>3</v>
      </c>
      <c r="C52" s="2"/>
      <c r="D52" s="75" t="s">
        <v>18</v>
      </c>
      <c r="E52" s="2">
        <v>100</v>
      </c>
      <c r="F52" s="71"/>
      <c r="G52" s="72" t="str">
        <f>IFERROR(IF(VLOOKUP(TableHandbook[[#This Row],[UDC]],TableAvailabilities[],2,FALSE)&gt;0,"Y",""),"")</f>
        <v/>
      </c>
      <c r="H52" s="72" t="str">
        <f>IFERROR(IF(VLOOKUP(TableHandbook[[#This Row],[UDC]],TableAvailabilities[],3,FALSE)&gt;0,"Y",""),"")</f>
        <v/>
      </c>
      <c r="I52" s="72" t="str">
        <f>IFERROR(IF(VLOOKUP(TableHandbook[[#This Row],[UDC]],TableAvailabilities[],4,FALSE)&gt;0,"Y",""),"")</f>
        <v/>
      </c>
      <c r="J52" s="72" t="str">
        <f>IFERROR(IF(VLOOKUP(TableHandbook[[#This Row],[UDC]],TableAvailabilities[],5,FALSE)&gt;0,"Y",""),"")</f>
        <v/>
      </c>
      <c r="K52" s="75"/>
      <c r="L52" s="73" t="str">
        <f>IFERROR(VLOOKUP(TableHandbook[[#This Row],[UDC]],TableOBCONMN[],7,FALSE),"")</f>
        <v>Option</v>
      </c>
      <c r="M52" s="73" t="str">
        <f>IFERROR(VLOOKUP(TableHandbook[[#This Row],[UDC]],TableOUSHCONMN[],7,FALSE),"")</f>
        <v/>
      </c>
      <c r="N52" s="73" t="str">
        <f>IFERROR(VLOOKUP(TableHandbook[[#This Row],[UDC]],TableOUSUCONMN[],7,FALSE),"")</f>
        <v/>
      </c>
      <c r="O52" s="73" t="str">
        <f>IFERROR(VLOOKUP(TableHandbook[[#This Row],[UDC]],TableOSCUANGAD[],7,FALSE),"")</f>
        <v/>
      </c>
      <c r="P52" s="73" t="str">
        <f>IFERROR(VLOOKUP(TableHandbook[[#This Row],[UDC]],TableOSCUINARS[],7,FALSE),"")</f>
        <v/>
      </c>
      <c r="Q52" s="73" t="str">
        <f>IFERROR(VLOOKUP(TableHandbook[[#This Row],[UDC]],TableOSCUPLGEO[],7,FALSE),"")</f>
        <v/>
      </c>
    </row>
    <row r="53" spans="1:17" x14ac:dyDescent="0.25">
      <c r="A53" t="s">
        <v>131</v>
      </c>
      <c r="B53" s="2">
        <v>1</v>
      </c>
      <c r="C53" s="2"/>
      <c r="D53" s="75" t="s">
        <v>130</v>
      </c>
      <c r="E53" s="2">
        <v>100</v>
      </c>
      <c r="F53" s="71"/>
      <c r="G53" s="72" t="str">
        <f>IFERROR(IF(VLOOKUP(TableHandbook[[#This Row],[UDC]],TableAvailabilities[],2,FALSE)&gt;0,"Y",""),"")</f>
        <v/>
      </c>
      <c r="H53" s="72" t="str">
        <f>IFERROR(IF(VLOOKUP(TableHandbook[[#This Row],[UDC]],TableAvailabilities[],3,FALSE)&gt;0,"Y",""),"")</f>
        <v/>
      </c>
      <c r="I53" s="72" t="str">
        <f>IFERROR(IF(VLOOKUP(TableHandbook[[#This Row],[UDC]],TableAvailabilities[],4,FALSE)&gt;0,"Y",""),"")</f>
        <v/>
      </c>
      <c r="J53" s="72" t="str">
        <f>IFERROR(IF(VLOOKUP(TableHandbook[[#This Row],[UDC]],TableAvailabilities[],5,FALSE)&gt;0,"Y",""),"")</f>
        <v/>
      </c>
      <c r="K53" s="75"/>
      <c r="L53" s="73" t="str">
        <f>IFERROR(VLOOKUP(TableHandbook[[#This Row],[UDC]],TableOBCONMN[],7,FALSE),"")</f>
        <v>Option</v>
      </c>
      <c r="M53" s="73" t="str">
        <f>IFERROR(VLOOKUP(TableHandbook[[#This Row],[UDC]],TableOUSHCONMN[],7,FALSE),"")</f>
        <v/>
      </c>
      <c r="N53" s="73" t="str">
        <f>IFERROR(VLOOKUP(TableHandbook[[#This Row],[UDC]],TableOUSUCONMN[],7,FALSE),"")</f>
        <v/>
      </c>
      <c r="O53" s="73" t="str">
        <f>IFERROR(VLOOKUP(TableHandbook[[#This Row],[UDC]],TableOSCUANGAD[],7,FALSE),"")</f>
        <v/>
      </c>
      <c r="P53" s="73" t="str">
        <f>IFERROR(VLOOKUP(TableHandbook[[#This Row],[UDC]],TableOSCUINARS[],7,FALSE),"")</f>
        <v/>
      </c>
      <c r="Q53" s="73" t="str">
        <f>IFERROR(VLOOKUP(TableHandbook[[#This Row],[UDC]],TableOSCUPLGEO[],7,FALSE),"")</f>
        <v/>
      </c>
    </row>
    <row r="54" spans="1:17" x14ac:dyDescent="0.25">
      <c r="A54" t="s">
        <v>102</v>
      </c>
      <c r="B54" s="2">
        <v>2</v>
      </c>
      <c r="C54" s="2"/>
      <c r="D54" s="75" t="s">
        <v>16</v>
      </c>
      <c r="E54" s="2">
        <v>200</v>
      </c>
      <c r="F54" s="71"/>
      <c r="G54" s="72" t="str">
        <f>IFERROR(IF(VLOOKUP(TableHandbook[[#This Row],[UDC]],TableAvailabilities[],2,FALSE)&gt;0,"Y",""),"")</f>
        <v/>
      </c>
      <c r="H54" s="72" t="str">
        <f>IFERROR(IF(VLOOKUP(TableHandbook[[#This Row],[UDC]],TableAvailabilities[],3,FALSE)&gt;0,"Y",""),"")</f>
        <v/>
      </c>
      <c r="I54" s="72" t="str">
        <f>IFERROR(IF(VLOOKUP(TableHandbook[[#This Row],[UDC]],TableAvailabilities[],4,FALSE)&gt;0,"Y",""),"")</f>
        <v/>
      </c>
      <c r="J54" s="72" t="str">
        <f>IFERROR(IF(VLOOKUP(TableHandbook[[#This Row],[UDC]],TableAvailabilities[],5,FALSE)&gt;0,"Y",""),"")</f>
        <v/>
      </c>
      <c r="K54" s="75"/>
      <c r="L54" s="73" t="str">
        <f>IFERROR(VLOOKUP(TableHandbook[[#This Row],[UDC]],TableOBCONMN[],7,FALSE),"")</f>
        <v>AltCore</v>
      </c>
      <c r="M54" s="73" t="str">
        <f>IFERROR(VLOOKUP(TableHandbook[[#This Row],[UDC]],TableOUSHCONMN[],7,FALSE),"")</f>
        <v/>
      </c>
      <c r="N54" s="73" t="str">
        <f>IFERROR(VLOOKUP(TableHandbook[[#This Row],[UDC]],TableOUSUCONMN[],7,FALSE),"")</f>
        <v/>
      </c>
      <c r="O54" s="73" t="str">
        <f>IFERROR(VLOOKUP(TableHandbook[[#This Row],[UDC]],TableOSCUANGAD[],7,FALSE),"")</f>
        <v/>
      </c>
      <c r="P54" s="73" t="str">
        <f>IFERROR(VLOOKUP(TableHandbook[[#This Row],[UDC]],TableOSCUINARS[],7,FALSE),"")</f>
        <v/>
      </c>
      <c r="Q54" s="73" t="str">
        <f>IFERROR(VLOOKUP(TableHandbook[[#This Row],[UDC]],TableOSCUPLGEO[],7,FALSE),"")</f>
        <v/>
      </c>
    </row>
    <row r="55" spans="1:17" x14ac:dyDescent="0.25">
      <c r="A55" t="s">
        <v>106</v>
      </c>
      <c r="B55" s="2">
        <v>2</v>
      </c>
      <c r="C55" s="2"/>
      <c r="D55" s="75" t="s">
        <v>105</v>
      </c>
      <c r="E55" s="2">
        <v>200</v>
      </c>
      <c r="F55" s="71"/>
      <c r="G55" s="72" t="str">
        <f>IFERROR(IF(VLOOKUP(TableHandbook[[#This Row],[UDC]],TableAvailabilities[],2,FALSE)&gt;0,"Y",""),"")</f>
        <v/>
      </c>
      <c r="H55" s="72" t="str">
        <f>IFERROR(IF(VLOOKUP(TableHandbook[[#This Row],[UDC]],TableAvailabilities[],3,FALSE)&gt;0,"Y",""),"")</f>
        <v/>
      </c>
      <c r="I55" s="72" t="str">
        <f>IFERROR(IF(VLOOKUP(TableHandbook[[#This Row],[UDC]],TableAvailabilities[],4,FALSE)&gt;0,"Y",""),"")</f>
        <v/>
      </c>
      <c r="J55" s="72" t="str">
        <f>IFERROR(IF(VLOOKUP(TableHandbook[[#This Row],[UDC]],TableAvailabilities[],5,FALSE)&gt;0,"Y",""),"")</f>
        <v/>
      </c>
      <c r="K55" s="75"/>
      <c r="L55" s="73" t="str">
        <f>IFERROR(VLOOKUP(TableHandbook[[#This Row],[UDC]],TableOBCONMN[],7,FALSE),"")</f>
        <v>AltCore</v>
      </c>
      <c r="M55" s="73" t="str">
        <f>IFERROR(VLOOKUP(TableHandbook[[#This Row],[UDC]],TableOUSHCONMN[],7,FALSE),"")</f>
        <v/>
      </c>
      <c r="N55" s="73" t="str">
        <f>IFERROR(VLOOKUP(TableHandbook[[#This Row],[UDC]],TableOUSUCONMN[],7,FALSE),"")</f>
        <v/>
      </c>
      <c r="O55" s="73" t="str">
        <f>IFERROR(VLOOKUP(TableHandbook[[#This Row],[UDC]],TableOSCUANGAD[],7,FALSE),"")</f>
        <v/>
      </c>
      <c r="P55" s="73" t="str">
        <f>IFERROR(VLOOKUP(TableHandbook[[#This Row],[UDC]],TableOSCUINARS[],7,FALSE),"")</f>
        <v/>
      </c>
      <c r="Q55" s="73" t="str">
        <f>IFERROR(VLOOKUP(TableHandbook[[#This Row],[UDC]],TableOSCUPLGEO[],7,FALSE),"")</f>
        <v/>
      </c>
    </row>
    <row r="56" spans="1:17" x14ac:dyDescent="0.25">
      <c r="A56" t="s">
        <v>180</v>
      </c>
      <c r="B56" s="2">
        <v>3</v>
      </c>
      <c r="C56" s="2" t="s">
        <v>309</v>
      </c>
      <c r="D56" s="75" t="s">
        <v>310</v>
      </c>
      <c r="E56" s="2">
        <v>25</v>
      </c>
      <c r="F56" s="71" t="s">
        <v>222</v>
      </c>
      <c r="G56" s="72" t="str">
        <f>IFERROR(IF(VLOOKUP(TableHandbook[[#This Row],[UDC]],TableAvailabilities[],2,FALSE)&gt;0,"Y",""),"")</f>
        <v/>
      </c>
      <c r="H56" s="72" t="str">
        <f>IFERROR(IF(VLOOKUP(TableHandbook[[#This Row],[UDC]],TableAvailabilities[],3,FALSE)&gt;0,"Y",""),"")</f>
        <v/>
      </c>
      <c r="I56" s="72" t="str">
        <f>IFERROR(IF(VLOOKUP(TableHandbook[[#This Row],[UDC]],TableAvailabilities[],4,FALSE)&gt;0,"Y",""),"")</f>
        <v>Y</v>
      </c>
      <c r="J56" s="72" t="str">
        <f>IFERROR(IF(VLOOKUP(TableHandbook[[#This Row],[UDC]],TableAvailabilities[],5,FALSE)&gt;0,"Y",""),"")</f>
        <v/>
      </c>
      <c r="K56" s="75"/>
      <c r="L56" s="73" t="str">
        <f>IFERROR(VLOOKUP(TableHandbook[[#This Row],[UDC]],TableOBCONMN[],7,FALSE),"")</f>
        <v/>
      </c>
      <c r="M56" s="73" t="str">
        <f>IFERROR(VLOOKUP(TableHandbook[[#This Row],[UDC]],TableOUSHCONMN[],7,FALSE),"")</f>
        <v/>
      </c>
      <c r="N56" s="73" t="str">
        <f>IFERROR(VLOOKUP(TableHandbook[[#This Row],[UDC]],TableOUSUCONMN[],7,FALSE),"")</f>
        <v/>
      </c>
      <c r="O56" s="73" t="str">
        <f>IFERROR(VLOOKUP(TableHandbook[[#This Row],[UDC]],TableOSCUANGAD[],7,FALSE),"")</f>
        <v/>
      </c>
      <c r="P56" s="73" t="str">
        <f>IFERROR(VLOOKUP(TableHandbook[[#This Row],[UDC]],TableOSCUINARS[],7,FALSE),"")</f>
        <v/>
      </c>
      <c r="Q56" s="73" t="str">
        <f>IFERROR(VLOOKUP(TableHandbook[[#This Row],[UDC]],TableOSCUPLGEO[],7,FALSE),"")</f>
        <v>Core</v>
      </c>
    </row>
    <row r="57" spans="1:17" x14ac:dyDescent="0.25">
      <c r="A57" t="s">
        <v>94</v>
      </c>
      <c r="C57" s="2"/>
      <c r="D57" s="75" t="s">
        <v>311</v>
      </c>
      <c r="E57" s="2">
        <v>25</v>
      </c>
      <c r="F57" s="71" t="s">
        <v>312</v>
      </c>
      <c r="G57" s="72" t="str">
        <f>IFERROR(IF(VLOOKUP(TableHandbook[[#This Row],[UDC]],TableAvailabilities[],2,FALSE)&gt;0,"Y",""),"")</f>
        <v/>
      </c>
      <c r="H57" s="72" t="str">
        <f>IFERROR(IF(VLOOKUP(TableHandbook[[#This Row],[UDC]],TableAvailabilities[],3,FALSE)&gt;0,"Y",""),"")</f>
        <v/>
      </c>
      <c r="I57" s="72" t="str">
        <f>IFERROR(IF(VLOOKUP(TableHandbook[[#This Row],[UDC]],TableAvailabilities[],4,FALSE)&gt;0,"Y",""),"")</f>
        <v/>
      </c>
      <c r="J57" s="72" t="str">
        <f>IFERROR(IF(VLOOKUP(TableHandbook[[#This Row],[UDC]],TableAvailabilities[],5,FALSE)&gt;0,"Y",""),"")</f>
        <v/>
      </c>
      <c r="K57" s="75"/>
      <c r="L57" s="73" t="str">
        <f>IFERROR(VLOOKUP(TableHandbook[[#This Row],[UDC]],TableOBCONMN[],7,FALSE),"")</f>
        <v/>
      </c>
      <c r="M57" s="73" t="str">
        <f>IFERROR(VLOOKUP(TableHandbook[[#This Row],[UDC]],TableOUSHCONMN[],7,FALSE),"")</f>
        <v/>
      </c>
      <c r="N57" s="73" t="str">
        <f>IFERROR(VLOOKUP(TableHandbook[[#This Row],[UDC]],TableOUSUCONMN[],7,FALSE),"")</f>
        <v/>
      </c>
      <c r="O57" s="73" t="str">
        <f>IFERROR(VLOOKUP(TableHandbook[[#This Row],[UDC]],TableOSCUANGAD[],7,FALSE),"")</f>
        <v/>
      </c>
      <c r="P57" s="73" t="str">
        <f>IFERROR(VLOOKUP(TableHandbook[[#This Row],[UDC]],TableOSCUINARS[],7,FALSE),"")</f>
        <v/>
      </c>
      <c r="Q57" s="73" t="str">
        <f>IFERROR(VLOOKUP(TableHandbook[[#This Row],[UDC]],TableOSCUPLGEO[],7,FALSE),"")</f>
        <v/>
      </c>
    </row>
    <row r="58" spans="1:17" ht="31.5" x14ac:dyDescent="0.25">
      <c r="A58" t="s">
        <v>313</v>
      </c>
      <c r="B58" s="2">
        <v>0</v>
      </c>
      <c r="C58" s="2"/>
      <c r="D58" s="75" t="s">
        <v>314</v>
      </c>
      <c r="E58" s="2">
        <v>100</v>
      </c>
      <c r="F58" s="71"/>
      <c r="G58" s="72" t="str">
        <f>IFERROR(IF(VLOOKUP(TableHandbook[[#This Row],[UDC]],TableAvailabilities[],2,FALSE)&gt;0,"Y",""),"")</f>
        <v/>
      </c>
      <c r="H58" s="72" t="str">
        <f>IFERROR(IF(VLOOKUP(TableHandbook[[#This Row],[UDC]],TableAvailabilities[],3,FALSE)&gt;0,"Y",""),"")</f>
        <v/>
      </c>
      <c r="I58" s="72" t="str">
        <f>IFERROR(IF(VLOOKUP(TableHandbook[[#This Row],[UDC]],TableAvailabilities[],4,FALSE)&gt;0,"Y",""),"")</f>
        <v/>
      </c>
      <c r="J58" s="72" t="str">
        <f>IFERROR(IF(VLOOKUP(TableHandbook[[#This Row],[UDC]],TableAvailabilities[],5,FALSE)&gt;0,"Y",""),"")</f>
        <v/>
      </c>
      <c r="K58" s="75"/>
      <c r="L58" s="73" t="str">
        <f>IFERROR(VLOOKUP(TableHandbook[[#This Row],[UDC]],TableOBCONMN[],7,FALSE),"")</f>
        <v>Option</v>
      </c>
      <c r="M58" s="73" t="str">
        <f>IFERROR(VLOOKUP(TableHandbook[[#This Row],[UDC]],TableOUSHCONMN[],7,FALSE),"")</f>
        <v/>
      </c>
      <c r="N58" s="73" t="str">
        <f>IFERROR(VLOOKUP(TableHandbook[[#This Row],[UDC]],TableOUSUCONMN[],7,FALSE),"")</f>
        <v/>
      </c>
      <c r="O58" s="73" t="str">
        <f>IFERROR(VLOOKUP(TableHandbook[[#This Row],[UDC]],TableOSCUANGAD[],7,FALSE),"")</f>
        <v/>
      </c>
      <c r="P58" s="73" t="str">
        <f>IFERROR(VLOOKUP(TableHandbook[[#This Row],[UDC]],TableOSCUINARS[],7,FALSE),"")</f>
        <v/>
      </c>
      <c r="Q58" s="73" t="str">
        <f>IFERROR(VLOOKUP(TableHandbook[[#This Row],[UDC]],TableOSCUPLGEO[],7,FALSE),"")</f>
        <v/>
      </c>
    </row>
    <row r="59" spans="1:17" x14ac:dyDescent="0.25">
      <c r="A59" t="s">
        <v>172</v>
      </c>
      <c r="B59" s="2">
        <v>1</v>
      </c>
      <c r="C59" s="2" t="s">
        <v>315</v>
      </c>
      <c r="D59" s="75" t="s">
        <v>316</v>
      </c>
      <c r="E59" s="2">
        <v>25</v>
      </c>
      <c r="F59" s="71" t="s">
        <v>222</v>
      </c>
      <c r="G59" s="72" t="str">
        <f>IFERROR(IF(VLOOKUP(TableHandbook[[#This Row],[UDC]],TableAvailabilities[],2,FALSE)&gt;0,"Y",""),"")</f>
        <v>Y</v>
      </c>
      <c r="H59" s="72" t="str">
        <f>IFERROR(IF(VLOOKUP(TableHandbook[[#This Row],[UDC]],TableAvailabilities[],3,FALSE)&gt;0,"Y",""),"")</f>
        <v/>
      </c>
      <c r="I59" s="72" t="str">
        <f>IFERROR(IF(VLOOKUP(TableHandbook[[#This Row],[UDC]],TableAvailabilities[],4,FALSE)&gt;0,"Y",""),"")</f>
        <v>Y</v>
      </c>
      <c r="J59" s="72" t="str">
        <f>IFERROR(IF(VLOOKUP(TableHandbook[[#This Row],[UDC]],TableAvailabilities[],5,FALSE)&gt;0,"Y",""),"")</f>
        <v/>
      </c>
      <c r="K59" s="75"/>
      <c r="L59" s="73" t="str">
        <f>IFERROR(VLOOKUP(TableHandbook[[#This Row],[UDC]],TableOBCONMN[],7,FALSE),"")</f>
        <v/>
      </c>
      <c r="M59" s="73" t="str">
        <f>IFERROR(VLOOKUP(TableHandbook[[#This Row],[UDC]],TableOUSHCONMN[],7,FALSE),"")</f>
        <v/>
      </c>
      <c r="N59" s="73" t="str">
        <f>IFERROR(VLOOKUP(TableHandbook[[#This Row],[UDC]],TableOUSUCONMN[],7,FALSE),"")</f>
        <v/>
      </c>
      <c r="O59" s="73" t="str">
        <f>IFERROR(VLOOKUP(TableHandbook[[#This Row],[UDC]],TableOSCUANGAD[],7,FALSE),"")</f>
        <v/>
      </c>
      <c r="P59" s="73" t="str">
        <f>IFERROR(VLOOKUP(TableHandbook[[#This Row],[UDC]],TableOSCUINARS[],7,FALSE),"")</f>
        <v/>
      </c>
      <c r="Q59" s="73" t="str">
        <f>IFERROR(VLOOKUP(TableHandbook[[#This Row],[UDC]],TableOSCUPLGEO[],7,FALSE),"")</f>
        <v>Core</v>
      </c>
    </row>
    <row r="60" spans="1:17" x14ac:dyDescent="0.25">
      <c r="A60" t="s">
        <v>176</v>
      </c>
      <c r="B60" s="2">
        <v>1</v>
      </c>
      <c r="C60" s="2" t="s">
        <v>317</v>
      </c>
      <c r="D60" s="75" t="s">
        <v>318</v>
      </c>
      <c r="E60" s="2">
        <v>25</v>
      </c>
      <c r="F60" s="71" t="s">
        <v>222</v>
      </c>
      <c r="G60" s="72" t="str">
        <f>IFERROR(IF(VLOOKUP(TableHandbook[[#This Row],[UDC]],TableAvailabilities[],2,FALSE)&gt;0,"Y",""),"")</f>
        <v/>
      </c>
      <c r="H60" s="72" t="str">
        <f>IFERROR(IF(VLOOKUP(TableHandbook[[#This Row],[UDC]],TableAvailabilities[],3,FALSE)&gt;0,"Y",""),"")</f>
        <v>Y</v>
      </c>
      <c r="I60" s="72" t="str">
        <f>IFERROR(IF(VLOOKUP(TableHandbook[[#This Row],[UDC]],TableAvailabilities[],4,FALSE)&gt;0,"Y",""),"")</f>
        <v/>
      </c>
      <c r="J60" s="72" t="str">
        <f>IFERROR(IF(VLOOKUP(TableHandbook[[#This Row],[UDC]],TableAvailabilities[],5,FALSE)&gt;0,"Y",""),"")</f>
        <v>Y</v>
      </c>
      <c r="K60" s="75"/>
      <c r="L60" s="73" t="str">
        <f>IFERROR(VLOOKUP(TableHandbook[[#This Row],[UDC]],TableOBCONMN[],7,FALSE),"")</f>
        <v/>
      </c>
      <c r="M60" s="73" t="str">
        <f>IFERROR(VLOOKUP(TableHandbook[[#This Row],[UDC]],TableOUSHCONMN[],7,FALSE),"")</f>
        <v/>
      </c>
      <c r="N60" s="73" t="str">
        <f>IFERROR(VLOOKUP(TableHandbook[[#This Row],[UDC]],TableOUSUCONMN[],7,FALSE),"")</f>
        <v/>
      </c>
      <c r="O60" s="73" t="str">
        <f>IFERROR(VLOOKUP(TableHandbook[[#This Row],[UDC]],TableOSCUANGAD[],7,FALSE),"")</f>
        <v/>
      </c>
      <c r="P60" s="73" t="str">
        <f>IFERROR(VLOOKUP(TableHandbook[[#This Row],[UDC]],TableOSCUINARS[],7,FALSE),"")</f>
        <v/>
      </c>
      <c r="Q60" s="73" t="str">
        <f>IFERROR(VLOOKUP(TableHandbook[[#This Row],[UDC]],TableOSCUPLGEO[],7,FALSE),"")</f>
        <v>Core</v>
      </c>
    </row>
    <row r="61" spans="1:17" x14ac:dyDescent="0.25">
      <c r="A61" t="s">
        <v>129</v>
      </c>
      <c r="B61" s="2">
        <v>1</v>
      </c>
      <c r="C61" s="2" t="s">
        <v>262</v>
      </c>
      <c r="D61" s="75" t="s">
        <v>420</v>
      </c>
      <c r="E61" s="2">
        <v>25</v>
      </c>
      <c r="F61" s="95" t="s">
        <v>255</v>
      </c>
      <c r="G61" s="72" t="str">
        <f>IFERROR(IF(VLOOKUP(TableHandbook[[#This Row],[UDC]],TableAvailabilities[],2,FALSE)&gt;0,"Y",""),"")</f>
        <v/>
      </c>
      <c r="H61" s="72" t="str">
        <f>IFERROR(IF(VLOOKUP(TableHandbook[[#This Row],[UDC]],TableAvailabilities[],3,FALSE)&gt;0,"Y",""),"")</f>
        <v>Y</v>
      </c>
      <c r="I61" s="72" t="str">
        <f>IFERROR(IF(VLOOKUP(TableHandbook[[#This Row],[UDC]],TableAvailabilities[],4,FALSE)&gt;0,"Y",""),"")</f>
        <v/>
      </c>
      <c r="J61" s="72" t="str">
        <f>IFERROR(IF(VLOOKUP(TableHandbook[[#This Row],[UDC]],TableAvailabilities[],5,FALSE)&gt;0,"Y",""),"")</f>
        <v>Y</v>
      </c>
      <c r="K61" s="93"/>
      <c r="L61" s="73" t="str">
        <f>IFERROR(VLOOKUP(TableHandbook[[#This Row],[UDC]],TableOBCONMN[],7,FALSE),"")</f>
        <v>Core</v>
      </c>
      <c r="M61" s="73" t="str">
        <f>IFERROR(VLOOKUP(TableHandbook[[#This Row],[UDC]],TableOUSHCONMN[],7,FALSE),"")</f>
        <v/>
      </c>
      <c r="N61" s="73" t="str">
        <f>IFERROR(VLOOKUP(TableHandbook[[#This Row],[UDC]],TableOUSUCONMN[],7,FALSE),"")</f>
        <v/>
      </c>
      <c r="O61" s="73" t="str">
        <f>IFERROR(VLOOKUP(TableHandbook[[#This Row],[UDC]],TableOSCUANGAD[],7,FALSE),"")</f>
        <v/>
      </c>
      <c r="P61" s="73" t="str">
        <f>IFERROR(VLOOKUP(TableHandbook[[#This Row],[UDC]],TableOSCUINARS[],7,FALSE),"")</f>
        <v/>
      </c>
      <c r="Q61" s="73" t="str">
        <f>IFERROR(VLOOKUP(TableHandbook[[#This Row],[UDC]],TableOSCUPLGEO[],7,FALSE),"")</f>
        <v/>
      </c>
    </row>
    <row r="62" spans="1:17" x14ac:dyDescent="0.25">
      <c r="A62" s="67" t="s">
        <v>431</v>
      </c>
      <c r="B62" s="2">
        <v>3</v>
      </c>
      <c r="C62" s="2" t="s">
        <v>431</v>
      </c>
      <c r="D62" s="75" t="s">
        <v>432</v>
      </c>
      <c r="E62" s="2">
        <v>25</v>
      </c>
      <c r="F62" s="71" t="s">
        <v>222</v>
      </c>
      <c r="G62" s="72" t="str">
        <f>IFERROR(IF(VLOOKUP(TableHandbook[[#This Row],[UDC]],TableAvailabilities[],2,FALSE)&gt;0,"Y",""),"")</f>
        <v/>
      </c>
      <c r="H62" s="72" t="str">
        <f>IFERROR(IF(VLOOKUP(TableHandbook[[#This Row],[UDC]],TableAvailabilities[],3,FALSE)&gt;0,"Y",""),"")</f>
        <v>Y</v>
      </c>
      <c r="I62" s="72" t="str">
        <f>IFERROR(IF(VLOOKUP(TableHandbook[[#This Row],[UDC]],TableAvailabilities[],4,FALSE)&gt;0,"Y",""),"")</f>
        <v/>
      </c>
      <c r="J62" s="72" t="str">
        <f>IFERROR(IF(VLOOKUP(TableHandbook[[#This Row],[UDC]],TableAvailabilities[],5,FALSE)&gt;0,"Y",""),"")</f>
        <v>Y</v>
      </c>
      <c r="K62" s="142" t="s">
        <v>436</v>
      </c>
      <c r="L62" s="73" t="str">
        <f>IFERROR(VLOOKUP(TableHandbook[[#This Row],[UDC]],TableOBCONMN[],7,FALSE),"")</f>
        <v/>
      </c>
      <c r="M62" s="73" t="str">
        <f>IFERROR(VLOOKUP(TableHandbook[[#This Row],[UDC]],TableOUSHCONMN[],7,FALSE),"")</f>
        <v/>
      </c>
      <c r="N62" s="73" t="str">
        <f>IFERROR(VLOOKUP(TableHandbook[[#This Row],[UDC]],TableOUSUCONMN[],7,FALSE),"")</f>
        <v/>
      </c>
      <c r="O62" s="73" t="str">
        <f>IFERROR(VLOOKUP(TableHandbook[[#This Row],[UDC]],TableOSCUANGAD[],7,FALSE),"")</f>
        <v/>
      </c>
      <c r="P62" s="73" t="str">
        <f>IFERROR(VLOOKUP(TableHandbook[[#This Row],[UDC]],TableOSCUINARS[],7,FALSE),"")</f>
        <v/>
      </c>
      <c r="Q62" s="73" t="str">
        <f>IFERROR(VLOOKUP(TableHandbook[[#This Row],[UDC]],TableOSCUPLGEO[],7,FALSE),"")</f>
        <v/>
      </c>
    </row>
    <row r="63" spans="1:17" x14ac:dyDescent="0.25">
      <c r="A63" t="s">
        <v>200</v>
      </c>
      <c r="B63" s="2">
        <v>3</v>
      </c>
      <c r="C63" s="2" t="s">
        <v>319</v>
      </c>
      <c r="D63" s="75" t="s">
        <v>320</v>
      </c>
      <c r="E63" s="2">
        <v>25</v>
      </c>
      <c r="F63" s="71" t="s">
        <v>321</v>
      </c>
      <c r="G63" s="72" t="str">
        <f>IFERROR(IF(VLOOKUP(TableHandbook[[#This Row],[UDC]],TableAvailabilities[],2,FALSE)&gt;0,"Y",""),"")</f>
        <v/>
      </c>
      <c r="H63" s="72" t="str">
        <f>IFERROR(IF(VLOOKUP(TableHandbook[[#This Row],[UDC]],TableAvailabilities[],3,FALSE)&gt;0,"Y",""),"")</f>
        <v/>
      </c>
      <c r="I63" s="72" t="str">
        <f>IFERROR(IF(VLOOKUP(TableHandbook[[#This Row],[UDC]],TableAvailabilities[],4,FALSE)&gt;0,"Y",""),"")</f>
        <v/>
      </c>
      <c r="J63" s="72" t="str">
        <f>IFERROR(IF(VLOOKUP(TableHandbook[[#This Row],[UDC]],TableAvailabilities[],5,FALSE)&gt;0,"Y",""),"")</f>
        <v/>
      </c>
      <c r="K63" s="75" t="s">
        <v>322</v>
      </c>
      <c r="L63" s="73" t="str">
        <f>IFERROR(VLOOKUP(TableHandbook[[#This Row],[UDC]],TableOBCONMN[],7,FALSE),"")</f>
        <v/>
      </c>
      <c r="M63" s="73" t="str">
        <f>IFERROR(VLOOKUP(TableHandbook[[#This Row],[UDC]],TableOUSHCONMN[],7,FALSE),"")</f>
        <v/>
      </c>
      <c r="N63" s="73" t="str">
        <f>IFERROR(VLOOKUP(TableHandbook[[#This Row],[UDC]],TableOUSUCONMN[],7,FALSE),"")</f>
        <v/>
      </c>
      <c r="O63" s="73" t="str">
        <f>IFERROR(VLOOKUP(TableHandbook[[#This Row],[UDC]],TableOSCUANGAD[],7,FALSE),"")</f>
        <v/>
      </c>
      <c r="P63" s="73" t="str">
        <f>IFERROR(VLOOKUP(TableHandbook[[#This Row],[UDC]],TableOSCUINARS[],7,FALSE),"")</f>
        <v>Option</v>
      </c>
      <c r="Q63" s="73" t="str">
        <f>IFERROR(VLOOKUP(TableHandbook[[#This Row],[UDC]],TableOSCUPLGEO[],7,FALSE),"")</f>
        <v/>
      </c>
    </row>
    <row r="64" spans="1:17" x14ac:dyDescent="0.25">
      <c r="A64" t="s">
        <v>323</v>
      </c>
      <c r="B64" s="2">
        <v>2</v>
      </c>
      <c r="C64" s="2" t="s">
        <v>319</v>
      </c>
      <c r="D64" s="75" t="s">
        <v>324</v>
      </c>
      <c r="E64" s="2">
        <v>25</v>
      </c>
      <c r="F64" s="71" t="s">
        <v>321</v>
      </c>
      <c r="G64" s="72" t="str">
        <f>IFERROR(IF(VLOOKUP(TableHandbook[[#This Row],[UDC]],TableAvailabilities[],2,FALSE)&gt;0,"Y",""),"")</f>
        <v/>
      </c>
      <c r="H64" s="72" t="str">
        <f>IFERROR(IF(VLOOKUP(TableHandbook[[#This Row],[UDC]],TableAvailabilities[],3,FALSE)&gt;0,"Y",""),"")</f>
        <v/>
      </c>
      <c r="I64" s="72" t="str">
        <f>IFERROR(IF(VLOOKUP(TableHandbook[[#This Row],[UDC]],TableAvailabilities[],4,FALSE)&gt;0,"Y",""),"")</f>
        <v/>
      </c>
      <c r="J64" s="72" t="str">
        <f>IFERROR(IF(VLOOKUP(TableHandbook[[#This Row],[UDC]],TableAvailabilities[],5,FALSE)&gt;0,"Y",""),"")</f>
        <v/>
      </c>
      <c r="K64" s="75" t="s">
        <v>325</v>
      </c>
      <c r="L64" s="73" t="str">
        <f>IFERROR(VLOOKUP(TableHandbook[[#This Row],[UDC]],TableOBCONMN[],7,FALSE),"")</f>
        <v/>
      </c>
      <c r="M64" s="73" t="str">
        <f>IFERROR(VLOOKUP(TableHandbook[[#This Row],[UDC]],TableOUSHCONMN[],7,FALSE),"")</f>
        <v/>
      </c>
      <c r="N64" s="73" t="str">
        <f>IFERROR(VLOOKUP(TableHandbook[[#This Row],[UDC]],TableOUSUCONMN[],7,FALSE),"")</f>
        <v/>
      </c>
      <c r="O64" s="73" t="str">
        <f>IFERROR(VLOOKUP(TableHandbook[[#This Row],[UDC]],TableOSCUANGAD[],7,FALSE),"")</f>
        <v/>
      </c>
      <c r="P64" s="73" t="str">
        <f>IFERROR(VLOOKUP(TableHandbook[[#This Row],[UDC]],TableOSCUINARS[],7,FALSE),"")</f>
        <v/>
      </c>
      <c r="Q64" s="73" t="str">
        <f>IFERROR(VLOOKUP(TableHandbook[[#This Row],[UDC]],TableOSCUPLGEO[],7,FALSE),"")</f>
        <v/>
      </c>
    </row>
    <row r="65" spans="1:17" ht="31.5" x14ac:dyDescent="0.25">
      <c r="A65" t="s">
        <v>437</v>
      </c>
      <c r="B65" s="2">
        <v>1</v>
      </c>
      <c r="C65" s="2" t="s">
        <v>327</v>
      </c>
      <c r="D65" s="75" t="s">
        <v>328</v>
      </c>
      <c r="E65" s="2">
        <v>25</v>
      </c>
      <c r="F65" s="71" t="s">
        <v>321</v>
      </c>
      <c r="G65" s="72" t="str">
        <f>IFERROR(IF(VLOOKUP(TableHandbook[[#This Row],[UDC]],TableAvailabilities[],2,FALSE)&gt;0,"Y",""),"")</f>
        <v/>
      </c>
      <c r="H65" s="72" t="str">
        <f>IFERROR(IF(VLOOKUP(TableHandbook[[#This Row],[UDC]],TableAvailabilities[],3,FALSE)&gt;0,"Y",""),"")</f>
        <v/>
      </c>
      <c r="I65" s="72" t="str">
        <f>IFERROR(IF(VLOOKUP(TableHandbook[[#This Row],[UDC]],TableAvailabilities[],4,FALSE)&gt;0,"Y",""),"")</f>
        <v/>
      </c>
      <c r="J65" s="72" t="str">
        <f>IFERROR(IF(VLOOKUP(TableHandbook[[#This Row],[UDC]],TableAvailabilities[],5,FALSE)&gt;0,"Y",""),"")</f>
        <v/>
      </c>
      <c r="K65" s="142" t="s">
        <v>329</v>
      </c>
      <c r="L65" s="73" t="str">
        <f>IFERROR(VLOOKUP(TableHandbook[[#This Row],[UDC]],TableOBCONMN[],7,FALSE),"")</f>
        <v/>
      </c>
      <c r="M65" s="73" t="str">
        <f>IFERROR(VLOOKUP(TableHandbook[[#This Row],[UDC]],TableOUSHCONMN[],7,FALSE),"")</f>
        <v/>
      </c>
      <c r="N65" s="73" t="str">
        <f>IFERROR(VLOOKUP(TableHandbook[[#This Row],[UDC]],TableOUSUCONMN[],7,FALSE),"")</f>
        <v/>
      </c>
      <c r="O65" s="73" t="str">
        <f>IFERROR(VLOOKUP(TableHandbook[[#This Row],[UDC]],TableOSCUANGAD[],7,FALSE),"")</f>
        <v/>
      </c>
      <c r="P65" s="73" t="str">
        <f>IFERROR(VLOOKUP(TableHandbook[[#This Row],[UDC]],TableOSCUINARS[],7,FALSE),"")</f>
        <v/>
      </c>
      <c r="Q65" s="73" t="str">
        <f>IFERROR(VLOOKUP(TableHandbook[[#This Row],[UDC]],TableOSCUPLGEO[],7,FALSE),"")</f>
        <v/>
      </c>
    </row>
    <row r="66" spans="1:17" x14ac:dyDescent="0.25">
      <c r="A66" t="s">
        <v>192</v>
      </c>
      <c r="B66" s="2">
        <v>1</v>
      </c>
      <c r="C66" s="2" t="s">
        <v>330</v>
      </c>
      <c r="D66" s="75" t="s">
        <v>331</v>
      </c>
      <c r="E66" s="2">
        <v>25</v>
      </c>
      <c r="F66" s="71" t="s">
        <v>321</v>
      </c>
      <c r="G66" s="72" t="str">
        <f>IFERROR(IF(VLOOKUP(TableHandbook[[#This Row],[UDC]],TableAvailabilities[],2,FALSE)&gt;0,"Y",""),"")</f>
        <v/>
      </c>
      <c r="H66" s="72" t="str">
        <f>IFERROR(IF(VLOOKUP(TableHandbook[[#This Row],[UDC]],TableAvailabilities[],3,FALSE)&gt;0,"Y",""),"")</f>
        <v/>
      </c>
      <c r="I66" s="72" t="str">
        <f>IFERROR(IF(VLOOKUP(TableHandbook[[#This Row],[UDC]],TableAvailabilities[],4,FALSE)&gt;0,"Y",""),"")</f>
        <v/>
      </c>
      <c r="J66" s="72" t="str">
        <f>IFERROR(IF(VLOOKUP(TableHandbook[[#This Row],[UDC]],TableAvailabilities[],5,FALSE)&gt;0,"Y",""),"")</f>
        <v/>
      </c>
      <c r="K66" s="75"/>
      <c r="L66" s="73" t="str">
        <f>IFERROR(VLOOKUP(TableHandbook[[#This Row],[UDC]],TableOBCONMN[],7,FALSE),"")</f>
        <v/>
      </c>
      <c r="M66" s="73" t="str">
        <f>IFERROR(VLOOKUP(TableHandbook[[#This Row],[UDC]],TableOUSHCONMN[],7,FALSE),"")</f>
        <v/>
      </c>
      <c r="N66" s="73" t="str">
        <f>IFERROR(VLOOKUP(TableHandbook[[#This Row],[UDC]],TableOUSUCONMN[],7,FALSE),"")</f>
        <v/>
      </c>
      <c r="O66" s="73" t="str">
        <f>IFERROR(VLOOKUP(TableHandbook[[#This Row],[UDC]],TableOSCUANGAD[],7,FALSE),"")</f>
        <v>AltCore</v>
      </c>
      <c r="P66" s="73" t="str">
        <f>IFERROR(VLOOKUP(TableHandbook[[#This Row],[UDC]],TableOSCUINARS[],7,FALSE),"")</f>
        <v>Option</v>
      </c>
      <c r="Q66" s="73" t="str">
        <f>IFERROR(VLOOKUP(TableHandbook[[#This Row],[UDC]],TableOSCUPLGEO[],7,FALSE),"")</f>
        <v>AltCore</v>
      </c>
    </row>
    <row r="67" spans="1:17" x14ac:dyDescent="0.25">
      <c r="A67" s="67" t="s">
        <v>433</v>
      </c>
      <c r="B67" s="2">
        <v>1</v>
      </c>
      <c r="C67" s="2" t="s">
        <v>433</v>
      </c>
      <c r="D67" s="75" t="s">
        <v>333</v>
      </c>
      <c r="E67" s="2">
        <v>25</v>
      </c>
      <c r="F67" s="71" t="s">
        <v>434</v>
      </c>
      <c r="G67" s="72" t="str">
        <f>IFERROR(IF(VLOOKUP(TableHandbook[[#This Row],[UDC]],TableAvailabilities[],2,FALSE)&gt;0,"Y",""),"")</f>
        <v/>
      </c>
      <c r="H67" s="72" t="str">
        <f>IFERROR(IF(VLOOKUP(TableHandbook[[#This Row],[UDC]],TableAvailabilities[],3,FALSE)&gt;0,"Y",""),"")</f>
        <v/>
      </c>
      <c r="I67" s="72" t="str">
        <f>IFERROR(IF(VLOOKUP(TableHandbook[[#This Row],[UDC]],TableAvailabilities[],4,FALSE)&gt;0,"Y",""),"")</f>
        <v/>
      </c>
      <c r="J67" s="72" t="str">
        <f>IFERROR(IF(VLOOKUP(TableHandbook[[#This Row],[UDC]],TableAvailabilities[],5,FALSE)&gt;0,"Y",""),"")</f>
        <v/>
      </c>
      <c r="K67" s="142" t="s">
        <v>436</v>
      </c>
      <c r="L67" s="73" t="str">
        <f>IFERROR(VLOOKUP(TableHandbook[[#This Row],[UDC]],TableOBCONMN[],7,FALSE),"")</f>
        <v/>
      </c>
      <c r="M67" s="73" t="str">
        <f>IFERROR(VLOOKUP(TableHandbook[[#This Row],[UDC]],TableOUSHCONMN[],7,FALSE),"")</f>
        <v/>
      </c>
      <c r="N67" s="73" t="str">
        <f>IFERROR(VLOOKUP(TableHandbook[[#This Row],[UDC]],TableOUSUCONMN[],7,FALSE),"")</f>
        <v/>
      </c>
      <c r="O67" s="73" t="str">
        <f>IFERROR(VLOOKUP(TableHandbook[[#This Row],[UDC]],TableOSCUANGAD[],7,FALSE),"")</f>
        <v/>
      </c>
      <c r="P67" s="73" t="str">
        <f>IFERROR(VLOOKUP(TableHandbook[[#This Row],[UDC]],TableOSCUINARS[],7,FALSE),"")</f>
        <v/>
      </c>
      <c r="Q67" s="73" t="str">
        <f>IFERROR(VLOOKUP(TableHandbook[[#This Row],[UDC]],TableOSCUPLGEO[],7,FALSE),"")</f>
        <v/>
      </c>
    </row>
    <row r="68" spans="1:17" x14ac:dyDescent="0.25">
      <c r="A68" t="s">
        <v>203</v>
      </c>
      <c r="B68" s="2">
        <v>1</v>
      </c>
      <c r="C68" s="2" t="s">
        <v>332</v>
      </c>
      <c r="D68" s="75" t="s">
        <v>333</v>
      </c>
      <c r="E68" s="2">
        <v>25</v>
      </c>
      <c r="F68" s="71" t="s">
        <v>321</v>
      </c>
      <c r="G68" s="72" t="str">
        <f>IFERROR(IF(VLOOKUP(TableHandbook[[#This Row],[UDC]],TableAvailabilities[],2,FALSE)&gt;0,"Y",""),"")</f>
        <v/>
      </c>
      <c r="H68" s="72" t="str">
        <f>IFERROR(IF(VLOOKUP(TableHandbook[[#This Row],[UDC]],TableAvailabilities[],3,FALSE)&gt;0,"Y",""),"")</f>
        <v/>
      </c>
      <c r="I68" s="72" t="str">
        <f>IFERROR(IF(VLOOKUP(TableHandbook[[#This Row],[UDC]],TableAvailabilities[],4,FALSE)&gt;0,"Y",""),"")</f>
        <v/>
      </c>
      <c r="J68" s="72" t="str">
        <f>IFERROR(IF(VLOOKUP(TableHandbook[[#This Row],[UDC]],TableAvailabilities[],5,FALSE)&gt;0,"Y",""),"")</f>
        <v/>
      </c>
      <c r="K68" s="75"/>
      <c r="L68" s="73" t="str">
        <f>IFERROR(VLOOKUP(TableHandbook[[#This Row],[UDC]],TableOBCONMN[],7,FALSE),"")</f>
        <v/>
      </c>
      <c r="M68" s="73" t="str">
        <f>IFERROR(VLOOKUP(TableHandbook[[#This Row],[UDC]],TableOUSHCONMN[],7,FALSE),"")</f>
        <v/>
      </c>
      <c r="N68" s="73" t="str">
        <f>IFERROR(VLOOKUP(TableHandbook[[#This Row],[UDC]],TableOUSUCONMN[],7,FALSE),"")</f>
        <v/>
      </c>
      <c r="O68" s="73" t="str">
        <f>IFERROR(VLOOKUP(TableHandbook[[#This Row],[UDC]],TableOSCUANGAD[],7,FALSE),"")</f>
        <v/>
      </c>
      <c r="P68" s="73" t="str">
        <f>IFERROR(VLOOKUP(TableHandbook[[#This Row],[UDC]],TableOSCUINARS[],7,FALSE),"")</f>
        <v>Option</v>
      </c>
      <c r="Q68" s="73" t="str">
        <f>IFERROR(VLOOKUP(TableHandbook[[#This Row],[UDC]],TableOSCUPLGEO[],7,FALSE),"")</f>
        <v/>
      </c>
    </row>
  </sheetData>
  <sortState xmlns:xlrd2="http://schemas.microsoft.com/office/spreadsheetml/2017/richdata2" ref="A24:D37">
    <sortCondition ref="A24"/>
  </sortState>
  <conditionalFormatting sqref="A3:A68">
    <cfRule type="duplicateValues" dxfId="19" priority="42"/>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77"/>
  <sheetViews>
    <sheetView topLeftCell="A19" zoomScale="70" zoomScaleNormal="70" workbookViewId="0">
      <selection activeCell="A2" sqref="A2"/>
    </sheetView>
  </sheetViews>
  <sheetFormatPr defaultRowHeight="15.75" x14ac:dyDescent="0.25"/>
  <cols>
    <col min="1" max="1" width="14.625" bestFit="1" customWidth="1"/>
    <col min="2" max="2" width="6.875" style="2" bestFit="1" customWidth="1"/>
    <col min="3" max="3" width="12" bestFit="1" customWidth="1"/>
    <col min="4" max="4" width="60.125"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customWidth="1"/>
    <col min="12" max="12" width="65.5" customWidth="1"/>
    <col min="13" max="13" width="14.375" bestFit="1" customWidth="1"/>
    <col min="14" max="14" width="12.5" bestFit="1" customWidth="1"/>
    <col min="15" max="15" width="11.25" bestFit="1" customWidth="1"/>
    <col min="16" max="16" width="10.125" bestFit="1" customWidth="1"/>
    <col min="17" max="17" width="14.75" customWidth="1"/>
    <col min="18" max="18" width="11.5" bestFit="1" customWidth="1"/>
    <col min="19" max="19" width="10.125" bestFit="1" customWidth="1"/>
    <col min="21" max="21" width="22.875" customWidth="1"/>
  </cols>
  <sheetData>
    <row r="1" spans="1:18" x14ac:dyDescent="0.25">
      <c r="B1"/>
      <c r="E1"/>
      <c r="F1" s="28"/>
      <c r="G1" s="29" t="s">
        <v>334</v>
      </c>
      <c r="H1" s="89">
        <v>44927</v>
      </c>
      <c r="I1" s="60"/>
      <c r="J1" s="90" t="s">
        <v>70</v>
      </c>
      <c r="K1" s="91" t="s">
        <v>71</v>
      </c>
      <c r="L1" s="60" t="s">
        <v>14</v>
      </c>
      <c r="M1" s="60"/>
      <c r="N1" s="61" t="s">
        <v>335</v>
      </c>
      <c r="O1" s="62">
        <v>45573</v>
      </c>
      <c r="P1" s="81">
        <v>45292</v>
      </c>
    </row>
    <row r="2" spans="1:18" x14ac:dyDescent="0.25">
      <c r="A2" t="s">
        <v>0</v>
      </c>
      <c r="B2" s="2" t="s">
        <v>336</v>
      </c>
      <c r="C2" t="s">
        <v>25</v>
      </c>
      <c r="D2" t="s">
        <v>3</v>
      </c>
      <c r="E2" s="31" t="s">
        <v>337</v>
      </c>
      <c r="F2" t="s">
        <v>338</v>
      </c>
      <c r="G2" t="s">
        <v>339</v>
      </c>
      <c r="H2" t="s">
        <v>340</v>
      </c>
      <c r="I2" t="s">
        <v>4</v>
      </c>
      <c r="J2" t="s">
        <v>341</v>
      </c>
      <c r="K2" t="s">
        <v>1</v>
      </c>
      <c r="L2" t="s">
        <v>342</v>
      </c>
      <c r="M2" t="s">
        <v>68</v>
      </c>
      <c r="N2" t="s">
        <v>343</v>
      </c>
      <c r="O2" t="s">
        <v>344</v>
      </c>
      <c r="Q2" t="s">
        <v>345</v>
      </c>
      <c r="R2" t="s">
        <v>346</v>
      </c>
    </row>
    <row r="3" spans="1:18" x14ac:dyDescent="0.25">
      <c r="A3" t="str">
        <f>TableOBCONMN[[#This Row],[Study Package Code]]</f>
        <v>COMS1007</v>
      </c>
      <c r="B3" s="2">
        <f>TableOBCONMN[[#This Row],[Ver]]</f>
        <v>1</v>
      </c>
      <c r="C3" t="str">
        <f>LEFT(TableOBCONMN[[#This Row],[Structure Line]],6)</f>
        <v>APC100</v>
      </c>
      <c r="D3" t="str">
        <f>MID(TableOBCONMN[[#This Row],[Structure Line]],10,LEN(TableOBCONMN[[#This Row],[Structure Line]]))</f>
        <v>Academic and Professional Communications</v>
      </c>
      <c r="E3" s="31">
        <f>TableOBCONMN[[#This Row],[Credit Points]]</f>
        <v>25</v>
      </c>
      <c r="F3">
        <v>1</v>
      </c>
      <c r="G3" t="s">
        <v>347</v>
      </c>
      <c r="H3">
        <v>1</v>
      </c>
      <c r="I3" t="s">
        <v>348</v>
      </c>
      <c r="J3" t="s">
        <v>55</v>
      </c>
      <c r="K3" s="41">
        <v>1</v>
      </c>
      <c r="L3" s="41" t="s">
        <v>349</v>
      </c>
      <c r="M3" s="41">
        <v>25</v>
      </c>
      <c r="N3" s="65">
        <v>42005</v>
      </c>
      <c r="O3" s="65"/>
      <c r="Q3" t="s">
        <v>55</v>
      </c>
      <c r="R3">
        <v>1</v>
      </c>
    </row>
    <row r="4" spans="1:18" x14ac:dyDescent="0.25">
      <c r="A4" t="str">
        <f>TableOBCONMN[[#This Row],[Study Package Code]]</f>
        <v>ARCH1021</v>
      </c>
      <c r="B4" s="2">
        <f>TableOBCONMN[[#This Row],[Ver]]</f>
        <v>3</v>
      </c>
      <c r="C4" t="str">
        <f>LEFT(TableOBCONMN[[#This Row],[Structure Line]],6)</f>
        <v>BAS145</v>
      </c>
      <c r="D4" t="str">
        <f>MID(TableOBCONMN[[#This Row],[Structure Line]],8,LEN(TableOBCONMN[[#This Row],[Structure Line]]))</f>
        <v>Architecture and Interior Architecture Methods 1B - Digital Literacy</v>
      </c>
      <c r="E4" s="31">
        <f>TableOBCONMN[[#This Row],[Credit Points]]</f>
        <v>25</v>
      </c>
      <c r="F4">
        <v>2</v>
      </c>
      <c r="G4" t="s">
        <v>347</v>
      </c>
      <c r="H4">
        <v>1</v>
      </c>
      <c r="I4" t="s">
        <v>348</v>
      </c>
      <c r="J4" t="s">
        <v>77</v>
      </c>
      <c r="K4" s="41">
        <v>3</v>
      </c>
      <c r="L4" s="41" t="s">
        <v>350</v>
      </c>
      <c r="M4" s="41">
        <v>25</v>
      </c>
      <c r="N4" s="65">
        <v>44562</v>
      </c>
      <c r="O4" s="65"/>
      <c r="Q4" t="s">
        <v>77</v>
      </c>
      <c r="R4">
        <v>3</v>
      </c>
    </row>
    <row r="5" spans="1:18" x14ac:dyDescent="0.25">
      <c r="A5" t="str">
        <f>TableOBCONMN[[#This Row],[Study Package Code]]</f>
        <v>BLDG1005</v>
      </c>
      <c r="B5" s="2">
        <f>TableOBCONMN[[#This Row],[Ver]]</f>
        <v>2</v>
      </c>
      <c r="C5" t="str">
        <f>LEFT(TableOBCONMN[[#This Row],[Structure Line]],6)</f>
        <v>CME101</v>
      </c>
      <c r="D5" t="str">
        <f>MID(TableOBCONMN[[#This Row],[Structure Line]],8,LEN(TableOBCONMN[[#This Row],[Structure Line]]))</f>
        <v>Low Rise Construction</v>
      </c>
      <c r="E5" s="31">
        <f>TableOBCONMN[[#This Row],[Credit Points]]</f>
        <v>25</v>
      </c>
      <c r="F5">
        <v>3</v>
      </c>
      <c r="G5" t="s">
        <v>347</v>
      </c>
      <c r="H5">
        <v>1</v>
      </c>
      <c r="I5" t="s">
        <v>348</v>
      </c>
      <c r="J5" t="s">
        <v>61</v>
      </c>
      <c r="K5" s="41">
        <v>2</v>
      </c>
      <c r="L5" s="41" t="s">
        <v>351</v>
      </c>
      <c r="M5" s="41">
        <v>25</v>
      </c>
      <c r="N5" s="65">
        <v>43466</v>
      </c>
      <c r="O5" s="65"/>
      <c r="Q5" t="s">
        <v>61</v>
      </c>
      <c r="R5">
        <v>2</v>
      </c>
    </row>
    <row r="6" spans="1:18" x14ac:dyDescent="0.25">
      <c r="A6" t="str">
        <f>TableOBCONMN[[#This Row],[Study Package Code]]</f>
        <v>BLDG1009</v>
      </c>
      <c r="B6" s="2">
        <f>TableOBCONMN[[#This Row],[Ver]]</f>
        <v>3</v>
      </c>
      <c r="C6" t="str">
        <f>LEFT(TableOBCONMN[[#This Row],[Structure Line]],6)</f>
        <v>CME103</v>
      </c>
      <c r="D6" t="str">
        <f>MID(TableOBCONMN[[#This Row],[Structure Line]],8,LEN(TableOBCONMN[[#This Row],[Structure Line]]))</f>
        <v>Introduction to Management in Construction</v>
      </c>
      <c r="E6" s="31">
        <f>TableOBCONMN[[#This Row],[Credit Points]]</f>
        <v>25</v>
      </c>
      <c r="F6" s="41">
        <v>4</v>
      </c>
      <c r="G6" s="41" t="s">
        <v>347</v>
      </c>
      <c r="H6" s="41">
        <v>1</v>
      </c>
      <c r="I6" s="41" t="s">
        <v>348</v>
      </c>
      <c r="J6" s="41" t="s">
        <v>62</v>
      </c>
      <c r="K6" s="41">
        <v>3</v>
      </c>
      <c r="L6" s="41" t="s">
        <v>352</v>
      </c>
      <c r="M6" s="41">
        <v>25</v>
      </c>
      <c r="N6" s="65">
        <v>44927</v>
      </c>
      <c r="O6" s="65"/>
      <c r="Q6" t="s">
        <v>62</v>
      </c>
      <c r="R6">
        <v>3</v>
      </c>
    </row>
    <row r="7" spans="1:18" x14ac:dyDescent="0.25">
      <c r="A7" t="str">
        <f>TableOBCONMN[[#This Row],[Study Package Code]]</f>
        <v>BLDG1008</v>
      </c>
      <c r="B7" s="2">
        <f>TableOBCONMN[[#This Row],[Ver]]</f>
        <v>1</v>
      </c>
      <c r="C7" t="str">
        <f>LEFT(TableOBCONMN[[#This Row],[Structure Line]],6)</f>
        <v>CME104</v>
      </c>
      <c r="D7" t="str">
        <f>MID(TableOBCONMN[[#This Row],[Structure Line]],8,LEN(TableOBCONMN[[#This Row],[Structure Line]]))</f>
        <v>Structures</v>
      </c>
      <c r="E7" s="31">
        <f>TableOBCONMN[[#This Row],[Credit Points]]</f>
        <v>25</v>
      </c>
      <c r="F7">
        <v>5</v>
      </c>
      <c r="G7" t="s">
        <v>347</v>
      </c>
      <c r="H7">
        <v>1</v>
      </c>
      <c r="I7" t="s">
        <v>348</v>
      </c>
      <c r="J7" t="s">
        <v>79</v>
      </c>
      <c r="K7" s="41">
        <v>1</v>
      </c>
      <c r="L7" s="41" t="s">
        <v>353</v>
      </c>
      <c r="M7" s="41">
        <v>25</v>
      </c>
      <c r="N7" s="65">
        <v>42005</v>
      </c>
      <c r="O7" s="65"/>
      <c r="Q7" t="s">
        <v>79</v>
      </c>
      <c r="R7">
        <v>1</v>
      </c>
    </row>
    <row r="8" spans="1:18" x14ac:dyDescent="0.25">
      <c r="A8" t="str">
        <f>TableOBCONMN[[#This Row],[Study Package Code]]</f>
        <v>BLDG1006</v>
      </c>
      <c r="B8" s="2">
        <f>TableOBCONMN[[#This Row],[Ver]]</f>
        <v>3</v>
      </c>
      <c r="C8" t="str">
        <f>LEFT(TableOBCONMN[[#This Row],[Structure Line]],6)</f>
        <v>CME106</v>
      </c>
      <c r="D8" t="str">
        <f>MID(TableOBCONMN[[#This Row],[Structure Line]],8,LEN(TableOBCONMN[[#This Row],[Structure Line]]))</f>
        <v>High-rise Construction</v>
      </c>
      <c r="E8" s="31">
        <f>TableOBCONMN[[#This Row],[Credit Points]]</f>
        <v>25</v>
      </c>
      <c r="F8" s="41">
        <v>6</v>
      </c>
      <c r="G8" s="41" t="s">
        <v>347</v>
      </c>
      <c r="H8" s="41">
        <v>1</v>
      </c>
      <c r="I8" s="41" t="s">
        <v>348</v>
      </c>
      <c r="J8" s="41" t="s">
        <v>78</v>
      </c>
      <c r="K8" s="41">
        <v>3</v>
      </c>
      <c r="L8" s="41" t="s">
        <v>354</v>
      </c>
      <c r="M8" s="41">
        <v>25</v>
      </c>
      <c r="N8" s="65">
        <v>44927</v>
      </c>
      <c r="O8" s="65"/>
      <c r="Q8" t="s">
        <v>78</v>
      </c>
      <c r="R8">
        <v>3</v>
      </c>
    </row>
    <row r="9" spans="1:18" x14ac:dyDescent="0.25">
      <c r="A9" t="str">
        <f>TableOBCONMN[[#This Row],[Study Package Code]]</f>
        <v>BLDG1017</v>
      </c>
      <c r="B9" s="2">
        <f>TableOBCONMN[[#This Row],[Ver]]</f>
        <v>1</v>
      </c>
      <c r="C9" t="str">
        <f>LEFT(TableOBCONMN[[#This Row],[Structure Line]],6)</f>
        <v>CME180</v>
      </c>
      <c r="D9" t="str">
        <f>MID(TableOBCONMN[[#This Row],[Structure Line]],8,LEN(TableOBCONMN[[#This Row],[Structure Line]]))</f>
        <v>Building Construction Measurement</v>
      </c>
      <c r="E9" s="31">
        <f>TableOBCONMN[[#This Row],[Credit Points]]</f>
        <v>25</v>
      </c>
      <c r="F9">
        <v>7</v>
      </c>
      <c r="G9" t="s">
        <v>347</v>
      </c>
      <c r="H9">
        <v>1</v>
      </c>
      <c r="I9" t="s">
        <v>348</v>
      </c>
      <c r="J9" t="s">
        <v>76</v>
      </c>
      <c r="K9" s="41">
        <v>1</v>
      </c>
      <c r="L9" s="41" t="s">
        <v>355</v>
      </c>
      <c r="M9" s="41">
        <v>25</v>
      </c>
      <c r="N9" s="65">
        <v>44927</v>
      </c>
      <c r="O9" s="65"/>
      <c r="Q9" t="s">
        <v>76</v>
      </c>
      <c r="R9">
        <v>1</v>
      </c>
    </row>
    <row r="10" spans="1:18" x14ac:dyDescent="0.25">
      <c r="A10" t="str">
        <f>TableOBCONMN[[#This Row],[Study Package Code]]</f>
        <v>BLDG1019</v>
      </c>
      <c r="B10" s="2">
        <f>TableOBCONMN[[#This Row],[Ver]]</f>
        <v>1</v>
      </c>
      <c r="C10" t="str">
        <f>LEFT(TableOBCONMN[[#This Row],[Structure Line]],6)</f>
        <v>CME190</v>
      </c>
      <c r="D10" t="str">
        <f>MID(TableOBCONMN[[#This Row],[Structure Line]],8,LEN(TableOBCONMN[[#This Row],[Structure Line]]))</f>
        <v>Health, Safety and Quality in the Built Environment</v>
      </c>
      <c r="E10" s="31">
        <f>TableOBCONMN[[#This Row],[Credit Points]]</f>
        <v>25</v>
      </c>
      <c r="F10">
        <v>8</v>
      </c>
      <c r="G10" t="s">
        <v>347</v>
      </c>
      <c r="H10">
        <v>1</v>
      </c>
      <c r="I10" t="s">
        <v>348</v>
      </c>
      <c r="J10" t="s">
        <v>57</v>
      </c>
      <c r="K10" s="41">
        <v>1</v>
      </c>
      <c r="L10" s="41" t="s">
        <v>356</v>
      </c>
      <c r="M10" s="41">
        <v>25</v>
      </c>
      <c r="N10" s="65">
        <v>44927</v>
      </c>
      <c r="O10" s="65"/>
      <c r="Q10" t="s">
        <v>57</v>
      </c>
      <c r="R10">
        <v>1</v>
      </c>
    </row>
    <row r="11" spans="1:18" x14ac:dyDescent="0.25">
      <c r="A11" t="str">
        <f>TableOBCONMN[[#This Row],[Study Package Code]]</f>
        <v>BLDG2026</v>
      </c>
      <c r="B11" s="2">
        <f>TableOBCONMN[[#This Row],[Ver]]</f>
        <v>1</v>
      </c>
      <c r="C11" t="str">
        <f>LEFT(TableOBCONMN[[#This Row],[Structure Line]],6)</f>
        <v>CME202</v>
      </c>
      <c r="D11" t="str">
        <f>MID(TableOBCONMN[[#This Row],[Structure Line]],8,LEN(TableOBCONMN[[#This Row],[Structure Line]]))</f>
        <v>Construction Plant and Equipment</v>
      </c>
      <c r="E11" s="31">
        <f>TableOBCONMN[[#This Row],[Credit Points]]</f>
        <v>25</v>
      </c>
      <c r="F11">
        <v>9</v>
      </c>
      <c r="G11" t="s">
        <v>347</v>
      </c>
      <c r="H11">
        <v>2</v>
      </c>
      <c r="I11" t="s">
        <v>348</v>
      </c>
      <c r="J11" t="s">
        <v>87</v>
      </c>
      <c r="K11" s="41">
        <v>1</v>
      </c>
      <c r="L11" s="41" t="s">
        <v>357</v>
      </c>
      <c r="M11" s="41">
        <v>25</v>
      </c>
      <c r="N11" s="65">
        <v>42005</v>
      </c>
      <c r="O11" s="65"/>
      <c r="Q11" t="s">
        <v>87</v>
      </c>
      <c r="R11">
        <v>1</v>
      </c>
    </row>
    <row r="12" spans="1:18" x14ac:dyDescent="0.25">
      <c r="A12" t="str">
        <f>TableOBCONMN[[#This Row],[Study Package Code]]</f>
        <v>BLDG2021</v>
      </c>
      <c r="B12" s="2">
        <f>TableOBCONMN[[#This Row],[Ver]]</f>
        <v>1</v>
      </c>
      <c r="C12" t="str">
        <f>LEFT(TableOBCONMN[[#This Row],[Structure Line]],6)</f>
        <v>CME203</v>
      </c>
      <c r="D12" t="str">
        <f>MID(TableOBCONMN[[#This Row],[Structure Line]],8,LEN(TableOBCONMN[[#This Row],[Structure Line]]))</f>
        <v>Specialised Construction</v>
      </c>
      <c r="E12" s="31">
        <f>TableOBCONMN[[#This Row],[Credit Points]]</f>
        <v>25</v>
      </c>
      <c r="F12">
        <v>10</v>
      </c>
      <c r="G12" t="s">
        <v>347</v>
      </c>
      <c r="H12">
        <v>2</v>
      </c>
      <c r="I12" t="s">
        <v>348</v>
      </c>
      <c r="J12" t="s">
        <v>89</v>
      </c>
      <c r="K12" s="41">
        <v>1</v>
      </c>
      <c r="L12" s="41" t="s">
        <v>358</v>
      </c>
      <c r="M12" s="41">
        <v>25</v>
      </c>
      <c r="N12" s="65">
        <v>42005</v>
      </c>
      <c r="O12" s="65"/>
      <c r="Q12" t="s">
        <v>89</v>
      </c>
      <c r="R12">
        <v>1</v>
      </c>
    </row>
    <row r="13" spans="1:18" x14ac:dyDescent="0.25">
      <c r="A13" t="str">
        <f>TableOBCONMN[[#This Row],[Study Package Code]]</f>
        <v>BLDG2016</v>
      </c>
      <c r="B13" s="2">
        <f>TableOBCONMN[[#This Row],[Ver]]</f>
        <v>1</v>
      </c>
      <c r="C13" t="str">
        <f>LEFT(TableOBCONMN[[#This Row],[Structure Line]],6)</f>
        <v>CME204</v>
      </c>
      <c r="D13" t="str">
        <f>MID(TableOBCONMN[[#This Row],[Structure Line]],8,LEN(TableOBCONMN[[#This Row],[Structure Line]]))</f>
        <v>Building Services</v>
      </c>
      <c r="E13" s="31">
        <f>TableOBCONMN[[#This Row],[Credit Points]]</f>
        <v>25</v>
      </c>
      <c r="F13">
        <v>11</v>
      </c>
      <c r="G13" t="s">
        <v>347</v>
      </c>
      <c r="H13">
        <v>2</v>
      </c>
      <c r="I13" t="s">
        <v>348</v>
      </c>
      <c r="J13" t="s">
        <v>99</v>
      </c>
      <c r="K13" s="41">
        <v>1</v>
      </c>
      <c r="L13" s="41" t="s">
        <v>359</v>
      </c>
      <c r="M13" s="41">
        <v>25</v>
      </c>
      <c r="N13" s="65">
        <v>42005</v>
      </c>
      <c r="O13" s="65"/>
      <c r="Q13" t="s">
        <v>99</v>
      </c>
      <c r="R13">
        <v>1</v>
      </c>
    </row>
    <row r="14" spans="1:18" x14ac:dyDescent="0.25">
      <c r="A14" t="str">
        <f>TableOBCONMN[[#This Row],[Study Package Code]]</f>
        <v>BLDG2028</v>
      </c>
      <c r="B14" s="2">
        <f>TableOBCONMN[[#This Row],[Ver]]</f>
        <v>3</v>
      </c>
      <c r="C14" t="str">
        <f>LEFT(TableOBCONMN[[#This Row],[Structure Line]],6)</f>
        <v>CME205</v>
      </c>
      <c r="D14" t="str">
        <f>MID(TableOBCONMN[[#This Row],[Structure Line]],8,LEN(TableOBCONMN[[#This Row],[Structure Line]]))</f>
        <v>Building Information Management and Modelling</v>
      </c>
      <c r="E14" s="31">
        <f>TableOBCONMN[[#This Row],[Credit Points]]</f>
        <v>25</v>
      </c>
      <c r="F14" s="41">
        <v>12</v>
      </c>
      <c r="G14" s="41" t="s">
        <v>347</v>
      </c>
      <c r="H14" s="41">
        <v>2</v>
      </c>
      <c r="I14" s="41" t="s">
        <v>348</v>
      </c>
      <c r="J14" s="41" t="s">
        <v>98</v>
      </c>
      <c r="K14" s="41">
        <v>3</v>
      </c>
      <c r="L14" s="41" t="s">
        <v>360</v>
      </c>
      <c r="M14" s="41">
        <v>25</v>
      </c>
      <c r="N14" s="65">
        <v>44927</v>
      </c>
      <c r="O14" s="65"/>
      <c r="Q14" t="s">
        <v>98</v>
      </c>
      <c r="R14">
        <v>3</v>
      </c>
    </row>
    <row r="15" spans="1:18" x14ac:dyDescent="0.25">
      <c r="A15" t="str">
        <f>TableOBCONMN[[#This Row],[Study Package Code]]</f>
        <v>BLDG2027</v>
      </c>
      <c r="B15" s="2">
        <f>TableOBCONMN[[#This Row],[Ver]]</f>
        <v>3</v>
      </c>
      <c r="C15" t="str">
        <f>LEFT(TableOBCONMN[[#This Row],[Structure Line]],6)</f>
        <v>CME206</v>
      </c>
      <c r="D15" t="str">
        <f>MID(TableOBCONMN[[#This Row],[Structure Line]],8,LEN(TableOBCONMN[[#This Row],[Structure Line]]))</f>
        <v>Building Surveying</v>
      </c>
      <c r="E15" s="31">
        <f>TableOBCONMN[[#This Row],[Credit Points]]</f>
        <v>25</v>
      </c>
      <c r="F15">
        <v>13</v>
      </c>
      <c r="G15" t="s">
        <v>347</v>
      </c>
      <c r="H15">
        <v>2</v>
      </c>
      <c r="I15" t="s">
        <v>348</v>
      </c>
      <c r="J15" t="s">
        <v>93</v>
      </c>
      <c r="K15" s="41">
        <v>3</v>
      </c>
      <c r="L15" s="41" t="s">
        <v>361</v>
      </c>
      <c r="M15" s="41">
        <v>25</v>
      </c>
      <c r="N15" s="65">
        <v>43466</v>
      </c>
      <c r="O15" s="65"/>
      <c r="Q15" t="s">
        <v>93</v>
      </c>
      <c r="R15">
        <v>3</v>
      </c>
    </row>
    <row r="16" spans="1:18" x14ac:dyDescent="0.25">
      <c r="A16" t="str">
        <f>TableOBCONMN[[#This Row],[Study Package Code]]</f>
        <v>BLDG2034</v>
      </c>
      <c r="B16" s="2">
        <f>TableOBCONMN[[#This Row],[Ver]]</f>
        <v>1</v>
      </c>
      <c r="C16" t="str">
        <f>LEFT(TableOBCONMN[[#This Row],[Structure Line]],6)</f>
        <v>CME215</v>
      </c>
      <c r="D16" t="str">
        <f>MID(TableOBCONMN[[#This Row],[Structure Line]],8,LEN(TableOBCONMN[[#This Row],[Structure Line]]))</f>
        <v>Construction Estimating and Cost Planning</v>
      </c>
      <c r="E16" s="31">
        <f>TableOBCONMN[[#This Row],[Credit Points]]</f>
        <v>25</v>
      </c>
      <c r="F16">
        <v>14</v>
      </c>
      <c r="G16" t="s">
        <v>347</v>
      </c>
      <c r="H16">
        <v>2</v>
      </c>
      <c r="I16" t="s">
        <v>348</v>
      </c>
      <c r="J16" t="s">
        <v>95</v>
      </c>
      <c r="K16" s="41">
        <v>1</v>
      </c>
      <c r="L16" s="41" t="s">
        <v>362</v>
      </c>
      <c r="M16" s="41">
        <v>25</v>
      </c>
      <c r="N16" s="65">
        <v>44927</v>
      </c>
      <c r="O16" s="65"/>
      <c r="Q16" t="s">
        <v>95</v>
      </c>
      <c r="R16">
        <v>1</v>
      </c>
    </row>
    <row r="17" spans="1:18" x14ac:dyDescent="0.25">
      <c r="A17" t="str">
        <f>TableOBCONMN[[#This Row],[Study Package Code]]</f>
        <v>Specialisation</v>
      </c>
      <c r="B17" s="2">
        <f>TableOBCONMN[[#This Row],[Ver]]</f>
        <v>0</v>
      </c>
      <c r="D17" t="str">
        <f>TableOBCONMN[[#This Row],[Structure Line]]</f>
        <v>Choose a Specialisation. You should enrol two units in Year 2 and two units in Year 3 of the selected specialisation</v>
      </c>
      <c r="E17" s="31">
        <f>TableOBCONMN[[#This Row],[Credit Points]]</f>
        <v>100</v>
      </c>
      <c r="F17">
        <v>15</v>
      </c>
      <c r="G17" t="s">
        <v>363</v>
      </c>
      <c r="H17">
        <v>2</v>
      </c>
      <c r="I17" t="s">
        <v>348</v>
      </c>
      <c r="J17" t="s">
        <v>313</v>
      </c>
      <c r="K17" s="41">
        <v>0</v>
      </c>
      <c r="L17" s="41" t="s">
        <v>314</v>
      </c>
      <c r="M17" s="41">
        <v>100</v>
      </c>
      <c r="N17" s="65"/>
      <c r="O17" s="65"/>
      <c r="Q17" t="s">
        <v>313</v>
      </c>
      <c r="R17">
        <v>0</v>
      </c>
    </row>
    <row r="18" spans="1:18" x14ac:dyDescent="0.25">
      <c r="A18" t="str">
        <f>TableOBCONMN[[#This Row],[Study Package Code]]</f>
        <v>BLDG3029</v>
      </c>
      <c r="B18" s="2">
        <f>TableOBCONMN[[#This Row],[Ver]]</f>
        <v>2</v>
      </c>
      <c r="C18" t="str">
        <f>LEFT(TableOBCONMN[[#This Row],[Structure Line]],6)</f>
        <v>CME306</v>
      </c>
      <c r="D18" t="str">
        <f>MID(TableOBCONMN[[#This Row],[Structure Line]],8,LEN(TableOBCONMN[[#This Row],[Structure Line]]))</f>
        <v>Construction Planning and Scheduling</v>
      </c>
      <c r="E18" s="31">
        <f>TableOBCONMN[[#This Row],[Credit Points]]</f>
        <v>25</v>
      </c>
      <c r="F18" s="41">
        <v>16</v>
      </c>
      <c r="G18" s="41" t="s">
        <v>347</v>
      </c>
      <c r="H18" s="41">
        <v>3</v>
      </c>
      <c r="I18" s="41" t="s">
        <v>348</v>
      </c>
      <c r="J18" s="41" t="s">
        <v>114</v>
      </c>
      <c r="K18" s="41">
        <v>2</v>
      </c>
      <c r="L18" s="41" t="s">
        <v>364</v>
      </c>
      <c r="M18" s="41">
        <v>25</v>
      </c>
      <c r="N18" s="65">
        <v>44927</v>
      </c>
      <c r="O18" s="65"/>
      <c r="Q18" t="s">
        <v>114</v>
      </c>
      <c r="R18">
        <v>2</v>
      </c>
    </row>
    <row r="19" spans="1:18" x14ac:dyDescent="0.25">
      <c r="A19" t="str">
        <f>TableOBCONMN[[#This Row],[Study Package Code]]</f>
        <v>BLDG3026</v>
      </c>
      <c r="B19" s="2">
        <f>TableOBCONMN[[#This Row],[Ver]]</f>
        <v>4</v>
      </c>
      <c r="C19" t="str">
        <f>LEFT(TableOBCONMN[[#This Row],[Structure Line]],6)</f>
        <v>CME307</v>
      </c>
      <c r="D19" t="str">
        <f>MID(TableOBCONMN[[#This Row],[Structure Line]],8,LEN(TableOBCONMN[[#This Row],[Structure Line]]))</f>
        <v>Cost Management</v>
      </c>
      <c r="E19" s="31">
        <f>TableOBCONMN[[#This Row],[Credit Points]]</f>
        <v>25</v>
      </c>
      <c r="F19" s="41">
        <v>17</v>
      </c>
      <c r="G19" s="41" t="s">
        <v>347</v>
      </c>
      <c r="H19" s="41">
        <v>3</v>
      </c>
      <c r="I19" s="41" t="s">
        <v>348</v>
      </c>
      <c r="J19" s="41" t="s">
        <v>118</v>
      </c>
      <c r="K19" s="41">
        <v>4</v>
      </c>
      <c r="L19" s="41" t="s">
        <v>365</v>
      </c>
      <c r="M19" s="41">
        <v>25</v>
      </c>
      <c r="N19" s="65">
        <v>44927</v>
      </c>
      <c r="O19" s="65"/>
      <c r="Q19" t="s">
        <v>118</v>
      </c>
      <c r="R19">
        <v>4</v>
      </c>
    </row>
    <row r="20" spans="1:18" x14ac:dyDescent="0.25">
      <c r="A20" t="str">
        <f>TableOBCONMN[[#This Row],[Study Package Code]]</f>
        <v>BLDG3033</v>
      </c>
      <c r="B20" s="2">
        <f>TableOBCONMN[[#This Row],[Ver]]</f>
        <v>1</v>
      </c>
      <c r="C20" t="str">
        <f>LEFT(TableOBCONMN[[#This Row],[Structure Line]],6)</f>
        <v>CME315</v>
      </c>
      <c r="D20" t="str">
        <f>MID(TableOBCONMN[[#This Row],[Structure Line]],8,LEN(TableOBCONMN[[#This Row],[Structure Line]]))</f>
        <v>Virtual Design and Construction</v>
      </c>
      <c r="E20" s="31">
        <f>TableOBCONMN[[#This Row],[Credit Points]]</f>
        <v>25</v>
      </c>
      <c r="F20">
        <v>18</v>
      </c>
      <c r="G20" t="s">
        <v>347</v>
      </c>
      <c r="H20">
        <v>3</v>
      </c>
      <c r="I20" t="s">
        <v>348</v>
      </c>
      <c r="J20" t="s">
        <v>126</v>
      </c>
      <c r="K20" s="41">
        <v>1</v>
      </c>
      <c r="L20" s="41" t="s">
        <v>366</v>
      </c>
      <c r="M20" s="41">
        <v>25</v>
      </c>
      <c r="N20" s="65">
        <v>44927</v>
      </c>
      <c r="O20" s="65"/>
      <c r="Q20" t="s">
        <v>126</v>
      </c>
      <c r="R20">
        <v>1</v>
      </c>
    </row>
    <row r="21" spans="1:18" x14ac:dyDescent="0.25">
      <c r="A21" t="str">
        <f>TableOBCONMN[[#This Row],[Study Package Code]]</f>
        <v>BLDG3035</v>
      </c>
      <c r="B21" s="2">
        <f>TableOBCONMN[[#This Row],[Ver]]</f>
        <v>1</v>
      </c>
      <c r="C21" t="str">
        <f>LEFT(TableOBCONMN[[#This Row],[Structure Line]],6)</f>
        <v>CME325</v>
      </c>
      <c r="D21" t="str">
        <f>MID(TableOBCONMN[[#This Row],[Structure Line]],8,LEN(TableOBCONMN[[#This Row],[Structure Line]]))</f>
        <v>Sustainable Construction Practices in Building and Infrastructure</v>
      </c>
      <c r="E21" s="31">
        <f>TableOBCONMN[[#This Row],[Credit Points]]</f>
        <v>25</v>
      </c>
      <c r="F21">
        <v>19</v>
      </c>
      <c r="G21" t="s">
        <v>347</v>
      </c>
      <c r="H21">
        <v>3</v>
      </c>
      <c r="I21" t="s">
        <v>348</v>
      </c>
      <c r="J21" t="s">
        <v>109</v>
      </c>
      <c r="K21" s="41">
        <v>1</v>
      </c>
      <c r="L21" s="41" t="s">
        <v>367</v>
      </c>
      <c r="M21" s="41">
        <v>25</v>
      </c>
      <c r="N21" s="65">
        <v>44927</v>
      </c>
      <c r="O21" s="65"/>
      <c r="Q21" t="s">
        <v>109</v>
      </c>
      <c r="R21">
        <v>1</v>
      </c>
    </row>
    <row r="22" spans="1:18" x14ac:dyDescent="0.25">
      <c r="A22" t="str">
        <f>TableOBCONMN[[#This Row],[Study Package Code]]</f>
        <v>BLDG3031</v>
      </c>
      <c r="B22" s="2">
        <f>TableOBCONMN[[#This Row],[Ver]]</f>
        <v>1</v>
      </c>
      <c r="C22" t="str">
        <f>LEFT(TableOBCONMN[[#This Row],[Structure Line]],6)</f>
        <v>CME390</v>
      </c>
      <c r="D22" t="str">
        <f>MID(TableOBCONMN[[#This Row],[Structure Line]],8,LEN(TableOBCONMN[[#This Row],[Structure Line]]))</f>
        <v>Construction Contracts and Procurement</v>
      </c>
      <c r="E22" s="31">
        <f>TableOBCONMN[[#This Row],[Credit Points]]</f>
        <v>25</v>
      </c>
      <c r="F22">
        <v>20</v>
      </c>
      <c r="G22" t="s">
        <v>347</v>
      </c>
      <c r="H22">
        <v>3</v>
      </c>
      <c r="I22" t="s">
        <v>348</v>
      </c>
      <c r="J22" t="s">
        <v>111</v>
      </c>
      <c r="K22" s="41">
        <v>1</v>
      </c>
      <c r="L22" s="41" t="s">
        <v>368</v>
      </c>
      <c r="M22" s="41">
        <v>25</v>
      </c>
      <c r="N22" s="65">
        <v>44927</v>
      </c>
      <c r="O22" s="65"/>
      <c r="Q22" t="s">
        <v>111</v>
      </c>
      <c r="R22">
        <v>1</v>
      </c>
    </row>
    <row r="23" spans="1:18" x14ac:dyDescent="0.25">
      <c r="A23" t="str">
        <f>TableOBCONMN[[#This Row],[Study Package Code]]</f>
        <v>URDE3011</v>
      </c>
      <c r="B23" s="2">
        <f>TableOBCONMN[[#This Row],[Ver]]</f>
        <v>1</v>
      </c>
      <c r="C23" t="str">
        <f>LEFT(TableOBCONMN[[#This Row],[Structure Line]],6)</f>
        <v>DBE300</v>
      </c>
      <c r="D23" t="str">
        <f>MID(TableOBCONMN[[#This Row],[Structure Line]],8,LEN(TableOBCONMN[[#This Row],[Structure Line]]))</f>
        <v>Design and Built Environment Research Methods</v>
      </c>
      <c r="E23" s="31">
        <f>TableOBCONMN[[#This Row],[Credit Points]]</f>
        <v>25</v>
      </c>
      <c r="F23">
        <v>21</v>
      </c>
      <c r="G23" t="s">
        <v>347</v>
      </c>
      <c r="H23">
        <v>3</v>
      </c>
      <c r="I23" t="s">
        <v>348</v>
      </c>
      <c r="J23" t="s">
        <v>129</v>
      </c>
      <c r="K23" s="41">
        <v>1</v>
      </c>
      <c r="L23" s="41" t="s">
        <v>369</v>
      </c>
      <c r="M23" s="41">
        <v>25</v>
      </c>
      <c r="N23" s="65">
        <v>44562</v>
      </c>
      <c r="O23" s="65"/>
      <c r="Q23" t="s">
        <v>129</v>
      </c>
      <c r="R23">
        <v>1</v>
      </c>
    </row>
    <row r="24" spans="1:18" x14ac:dyDescent="0.25">
      <c r="A24" t="str">
        <f>TableOBCONMN[[#This Row],[Study Package Code]]</f>
        <v>4th Year Stream</v>
      </c>
      <c r="B24" s="2">
        <f>TableOBCONMN[[#This Row],[Ver]]</f>
        <v>0</v>
      </c>
      <c r="D24" t="str">
        <f>TableOBCONMN[[#This Row],[Structure Line]]</f>
        <v>Alternate Cores for OUSU-CONMN Construction Management Fourth Year Stream (OpenUnis)</v>
      </c>
      <c r="E24" s="31">
        <f>TableOBCONMN[[#This Row],[Credit Points]]</f>
        <v>200</v>
      </c>
      <c r="F24">
        <v>22</v>
      </c>
      <c r="G24" t="s">
        <v>370</v>
      </c>
      <c r="H24">
        <v>4</v>
      </c>
      <c r="I24" t="s">
        <v>348</v>
      </c>
      <c r="J24" t="s">
        <v>215</v>
      </c>
      <c r="K24" s="41">
        <v>0</v>
      </c>
      <c r="L24" s="41" t="s">
        <v>216</v>
      </c>
      <c r="M24" s="41">
        <v>200</v>
      </c>
      <c r="N24" s="65"/>
      <c r="O24" s="65"/>
      <c r="Q24" t="s">
        <v>215</v>
      </c>
      <c r="R24">
        <v>0</v>
      </c>
    </row>
    <row r="25" spans="1:18" x14ac:dyDescent="0.25">
      <c r="A25" t="str">
        <f>TableOBCONMN[[#This Row],[Study Package Code]]</f>
        <v>OSCU-ANGAD</v>
      </c>
      <c r="B25" s="2">
        <f>TableOBCONMN[[#This Row],[Ver]]</f>
        <v>1</v>
      </c>
      <c r="D25" t="str">
        <f>TableOBCONMN[[#This Row],[Structure Line]]</f>
        <v>Animation and Game Architecture Design Specialisation (OpenUnis)</v>
      </c>
      <c r="E25" s="31">
        <f>TableOBCONMN[[#This Row],[Credit Points]]</f>
        <v>100</v>
      </c>
      <c r="F25">
        <v>15</v>
      </c>
      <c r="G25" t="s">
        <v>363</v>
      </c>
      <c r="H25">
        <v>2</v>
      </c>
      <c r="I25" t="s">
        <v>348</v>
      </c>
      <c r="J25" t="s">
        <v>122</v>
      </c>
      <c r="K25" s="41">
        <v>1</v>
      </c>
      <c r="L25" s="41" t="s">
        <v>121</v>
      </c>
      <c r="M25" s="41">
        <v>100</v>
      </c>
      <c r="N25" s="65">
        <v>44562</v>
      </c>
      <c r="O25" s="65"/>
      <c r="Q25" t="s">
        <v>122</v>
      </c>
      <c r="R25">
        <v>1</v>
      </c>
    </row>
    <row r="26" spans="1:18" x14ac:dyDescent="0.25">
      <c r="A26" t="str">
        <f>TableOBCONMN[[#This Row],[Study Package Code]]</f>
        <v>OSCU-INARS</v>
      </c>
      <c r="B26" s="2">
        <f>TableOBCONMN[[#This Row],[Ver]]</f>
        <v>3</v>
      </c>
      <c r="D26" t="str">
        <f>TableOBCONMN[[#This Row],[Structure Line]]</f>
        <v>Interior Architecture Specialisation (OpenUnis)</v>
      </c>
      <c r="E26" s="31">
        <f>TableOBCONMN[[#This Row],[Credit Points]]</f>
        <v>100</v>
      </c>
      <c r="F26">
        <v>15</v>
      </c>
      <c r="G26" t="s">
        <v>363</v>
      </c>
      <c r="H26">
        <v>2</v>
      </c>
      <c r="I26" t="s">
        <v>348</v>
      </c>
      <c r="J26" t="s">
        <v>127</v>
      </c>
      <c r="K26" s="41">
        <v>3</v>
      </c>
      <c r="L26" s="41" t="s">
        <v>18</v>
      </c>
      <c r="M26" s="41">
        <v>100</v>
      </c>
      <c r="N26" s="65">
        <v>45292</v>
      </c>
      <c r="O26" s="65"/>
      <c r="Q26" t="s">
        <v>127</v>
      </c>
      <c r="R26">
        <v>2</v>
      </c>
    </row>
    <row r="27" spans="1:18" x14ac:dyDescent="0.25">
      <c r="A27" t="str">
        <f>TableOBCONMN[[#This Row],[Study Package Code]]</f>
        <v>OSCU-PLGEO</v>
      </c>
      <c r="B27" s="2">
        <f>TableOBCONMN[[#This Row],[Ver]]</f>
        <v>1</v>
      </c>
      <c r="D27" t="str">
        <f>TableOBCONMN[[#This Row],[Structure Line]]</f>
        <v>Planning and Geography Specialisation (OpenUnis)</v>
      </c>
      <c r="E27" s="31">
        <f>TableOBCONMN[[#This Row],[Credit Points]]</f>
        <v>100</v>
      </c>
      <c r="F27">
        <v>15</v>
      </c>
      <c r="G27" t="s">
        <v>363</v>
      </c>
      <c r="H27">
        <v>2</v>
      </c>
      <c r="I27" t="s">
        <v>348</v>
      </c>
      <c r="J27" t="s">
        <v>131</v>
      </c>
      <c r="K27" s="41">
        <v>1</v>
      </c>
      <c r="L27" s="41" t="s">
        <v>130</v>
      </c>
      <c r="M27" s="41">
        <v>100</v>
      </c>
      <c r="N27" s="65">
        <v>44743</v>
      </c>
      <c r="O27" s="65"/>
      <c r="Q27" t="s">
        <v>131</v>
      </c>
      <c r="R27">
        <v>1</v>
      </c>
    </row>
    <row r="28" spans="1:18" x14ac:dyDescent="0.25">
      <c r="A28" t="str">
        <f>TableOBCONMN[[#This Row],[Study Package Code]]</f>
        <v>OUSH-CONMN</v>
      </c>
      <c r="B28" s="2">
        <f>TableOBCONMN[[#This Row],[Ver]]</f>
        <v>2</v>
      </c>
      <c r="D28" t="str">
        <f>TableOBCONMN[[#This Row],[Structure Line]]</f>
        <v>Honours Construction Management Stream (OUA)</v>
      </c>
      <c r="E28" s="31">
        <f>TableOBCONMN[[#This Row],[Credit Points]]</f>
        <v>200</v>
      </c>
      <c r="F28">
        <v>22</v>
      </c>
      <c r="G28" t="s">
        <v>370</v>
      </c>
      <c r="H28">
        <v>4</v>
      </c>
      <c r="I28" t="s">
        <v>348</v>
      </c>
      <c r="J28" t="s">
        <v>102</v>
      </c>
      <c r="K28" s="41">
        <v>2</v>
      </c>
      <c r="L28" s="41" t="s">
        <v>16</v>
      </c>
      <c r="M28" s="41">
        <v>200</v>
      </c>
      <c r="N28" s="65">
        <v>45292</v>
      </c>
      <c r="O28" s="65"/>
      <c r="Q28" t="s">
        <v>102</v>
      </c>
      <c r="R28">
        <v>2</v>
      </c>
    </row>
    <row r="29" spans="1:18" x14ac:dyDescent="0.25">
      <c r="A29" t="str">
        <f>TableOBCONMN[[#This Row],[Study Package Code]]</f>
        <v>OUSU-CONMN</v>
      </c>
      <c r="B29" s="2">
        <f>TableOBCONMN[[#This Row],[Ver]]</f>
        <v>2</v>
      </c>
      <c r="D29" t="str">
        <f>TableOBCONMN[[#This Row],[Structure Line]]</f>
        <v>Construction Management Fourth Year Stream (OUA)</v>
      </c>
      <c r="E29" s="31">
        <f>TableOBCONMN[[#This Row],[Credit Points]]</f>
        <v>200</v>
      </c>
      <c r="F29">
        <v>22</v>
      </c>
      <c r="G29" t="s">
        <v>370</v>
      </c>
      <c r="H29">
        <v>4</v>
      </c>
      <c r="I29" t="s">
        <v>348</v>
      </c>
      <c r="J29" t="s">
        <v>106</v>
      </c>
      <c r="K29" s="41">
        <v>2</v>
      </c>
      <c r="L29" s="41" t="s">
        <v>105</v>
      </c>
      <c r="M29" s="41">
        <v>200</v>
      </c>
      <c r="N29" s="65">
        <v>45292</v>
      </c>
      <c r="O29" s="65"/>
      <c r="Q29" t="s">
        <v>106</v>
      </c>
      <c r="R29">
        <v>2</v>
      </c>
    </row>
    <row r="30" spans="1:18" x14ac:dyDescent="0.25">
      <c r="B30"/>
      <c r="E30" s="30"/>
      <c r="F30" s="28"/>
      <c r="G30" s="29" t="s">
        <v>334</v>
      </c>
      <c r="H30" s="66" t="s">
        <v>371</v>
      </c>
      <c r="J30" s="92" t="s">
        <v>102</v>
      </c>
      <c r="K30" s="91" t="s">
        <v>71</v>
      </c>
      <c r="L30" s="28" t="s">
        <v>16</v>
      </c>
      <c r="N30" s="61" t="s">
        <v>335</v>
      </c>
      <c r="O30" s="62">
        <v>45573</v>
      </c>
    </row>
    <row r="31" spans="1:18" x14ac:dyDescent="0.25">
      <c r="A31" t="s">
        <v>0</v>
      </c>
      <c r="B31" s="2" t="s">
        <v>336</v>
      </c>
      <c r="C31" t="s">
        <v>25</v>
      </c>
      <c r="D31" t="s">
        <v>3</v>
      </c>
      <c r="E31" s="31" t="s">
        <v>337</v>
      </c>
      <c r="F31" t="s">
        <v>338</v>
      </c>
      <c r="G31" t="s">
        <v>339</v>
      </c>
      <c r="H31" t="s">
        <v>340</v>
      </c>
      <c r="I31" t="s">
        <v>4</v>
      </c>
      <c r="J31" t="s">
        <v>341</v>
      </c>
      <c r="K31" t="s">
        <v>1</v>
      </c>
      <c r="L31" t="s">
        <v>342</v>
      </c>
      <c r="M31" t="s">
        <v>68</v>
      </c>
      <c r="N31" t="s">
        <v>343</v>
      </c>
      <c r="O31" t="s">
        <v>344</v>
      </c>
      <c r="Q31" t="s">
        <v>345</v>
      </c>
      <c r="R31" t="s">
        <v>346</v>
      </c>
    </row>
    <row r="32" spans="1:18" x14ac:dyDescent="0.25">
      <c r="A32" t="str">
        <f>TableOUSHCONMN[[#This Row],[Study Package Code]]</f>
        <v>BLDG4002</v>
      </c>
      <c r="B32" s="2">
        <f>TableOUSHCONMN[[#This Row],[Ver]]</f>
        <v>2</v>
      </c>
      <c r="C32" t="str">
        <f>LEFT(TableOUSHCONMN[[#This Row],[Structure Line]],6)</f>
        <v>CME408</v>
      </c>
      <c r="D32" t="str">
        <f>MID(TableOUSHCONMN[[#This Row],[Structure Line]],8,LEN(TableOUSHCONMN[[#This Row],[Structure Line]]))</f>
        <v>Building Dissertation 1</v>
      </c>
      <c r="E32" s="31">
        <f>TableOUSHCONMN[[#This Row],[Credit Points]]</f>
        <v>25</v>
      </c>
      <c r="F32">
        <v>1</v>
      </c>
      <c r="G32" t="s">
        <v>347</v>
      </c>
      <c r="H32">
        <v>4</v>
      </c>
      <c r="I32" t="s">
        <v>348</v>
      </c>
      <c r="J32" t="s">
        <v>154</v>
      </c>
      <c r="K32" s="41">
        <v>2</v>
      </c>
      <c r="L32" s="41" t="s">
        <v>372</v>
      </c>
      <c r="M32" s="41">
        <v>25</v>
      </c>
      <c r="N32" s="65">
        <v>42370</v>
      </c>
      <c r="O32" s="65"/>
      <c r="Q32" t="s">
        <v>154</v>
      </c>
      <c r="R32">
        <v>2</v>
      </c>
    </row>
    <row r="33" spans="1:18" x14ac:dyDescent="0.25">
      <c r="A33" t="str">
        <f>TableOUSHCONMN[[#This Row],[Study Package Code]]</f>
        <v>BLDG4029</v>
      </c>
      <c r="B33" s="2">
        <f>TableOUSHCONMN[[#This Row],[Ver]]</f>
        <v>1</v>
      </c>
      <c r="C33" t="str">
        <f>LEFT(TableOUSHCONMN[[#This Row],[Structure Line]],6)</f>
        <v>CME415</v>
      </c>
      <c r="D33" t="str">
        <f>MID(TableOUSHCONMN[[#This Row],[Structure Line]],8,LEN(TableOUSHCONMN[[#This Row],[Structure Line]]))</f>
        <v>Contract Administration</v>
      </c>
      <c r="E33" s="31">
        <f>TableOUSHCONMN[[#This Row],[Credit Points]]</f>
        <v>25</v>
      </c>
      <c r="F33">
        <v>2</v>
      </c>
      <c r="G33" t="s">
        <v>347</v>
      </c>
      <c r="H33">
        <v>4</v>
      </c>
      <c r="I33" t="s">
        <v>348</v>
      </c>
      <c r="J33" t="s">
        <v>153</v>
      </c>
      <c r="K33" s="41">
        <v>1</v>
      </c>
      <c r="L33" s="41" t="s">
        <v>373</v>
      </c>
      <c r="M33" s="41">
        <v>25</v>
      </c>
      <c r="N33" s="65">
        <v>43466</v>
      </c>
      <c r="O33" s="65"/>
      <c r="Q33" t="s">
        <v>153</v>
      </c>
      <c r="R33">
        <v>1</v>
      </c>
    </row>
    <row r="34" spans="1:18" x14ac:dyDescent="0.25">
      <c r="A34" t="str">
        <f>TableOUSHCONMN[[#This Row],[Study Package Code]]</f>
        <v>BLDG4024</v>
      </c>
      <c r="B34" s="2">
        <f>TableOUSHCONMN[[#This Row],[Ver]]</f>
        <v>3</v>
      </c>
      <c r="C34" t="str">
        <f>LEFT(TableOUSHCONMN[[#This Row],[Structure Line]],6)</f>
        <v>CME403</v>
      </c>
      <c r="D34" t="str">
        <f>MID(TableOUSHCONMN[[#This Row],[Structure Line]],8,LEN(TableOUSHCONMN[[#This Row],[Structure Line]]))</f>
        <v>Integrated Construction Project 1</v>
      </c>
      <c r="E34" s="31">
        <f>TableOUSHCONMN[[#This Row],[Credit Points]]</f>
        <v>25</v>
      </c>
      <c r="F34">
        <v>3</v>
      </c>
      <c r="G34" t="s">
        <v>347</v>
      </c>
      <c r="H34">
        <v>4</v>
      </c>
      <c r="I34" t="s">
        <v>348</v>
      </c>
      <c r="J34" t="s">
        <v>146</v>
      </c>
      <c r="K34" s="41">
        <v>3</v>
      </c>
      <c r="L34" s="41" t="s">
        <v>374</v>
      </c>
      <c r="M34" s="41">
        <v>25</v>
      </c>
      <c r="N34" s="65">
        <v>44927</v>
      </c>
      <c r="O34" s="65"/>
      <c r="Q34" t="s">
        <v>146</v>
      </c>
      <c r="R34">
        <v>3</v>
      </c>
    </row>
    <row r="35" spans="1:18" x14ac:dyDescent="0.25">
      <c r="A35" t="str">
        <f>TableOUSHCONMN[[#This Row],[Study Package Code]]</f>
        <v>BLDG4025</v>
      </c>
      <c r="B35" s="2">
        <f>TableOUSHCONMN[[#This Row],[Ver]]</f>
        <v>1</v>
      </c>
      <c r="C35" t="str">
        <f>LEFT(TableOUSHCONMN[[#This Row],[Structure Line]],6)</f>
        <v>CME402</v>
      </c>
      <c r="D35" t="str">
        <f>MID(TableOUSHCONMN[[#This Row],[Structure Line]],8,LEN(TableOUSHCONMN[[#This Row],[Structure Line]]))</f>
        <v>Project Development and Appraisal</v>
      </c>
      <c r="E35" s="31">
        <f>TableOUSHCONMN[[#This Row],[Credit Points]]</f>
        <v>25</v>
      </c>
      <c r="F35">
        <v>4</v>
      </c>
      <c r="G35" t="s">
        <v>347</v>
      </c>
      <c r="H35">
        <v>4</v>
      </c>
      <c r="I35" t="s">
        <v>348</v>
      </c>
      <c r="J35" t="s">
        <v>159</v>
      </c>
      <c r="K35" s="41">
        <v>1</v>
      </c>
      <c r="L35" s="41" t="s">
        <v>375</v>
      </c>
      <c r="M35" s="41">
        <v>25</v>
      </c>
      <c r="N35" s="65">
        <v>42370</v>
      </c>
      <c r="O35" s="65"/>
      <c r="Q35" t="s">
        <v>159</v>
      </c>
      <c r="R35">
        <v>1</v>
      </c>
    </row>
    <row r="36" spans="1:18" x14ac:dyDescent="0.25">
      <c r="A36" t="str">
        <f>TableOUSHCONMN[[#This Row],[Study Package Code]]</f>
        <v>BLDG4003</v>
      </c>
      <c r="B36" s="2">
        <f>TableOUSHCONMN[[#This Row],[Ver]]</f>
        <v>2</v>
      </c>
      <c r="C36" t="str">
        <f>LEFT(TableOUSHCONMN[[#This Row],[Structure Line]],6)</f>
        <v>CME409</v>
      </c>
      <c r="D36" t="str">
        <f>MID(TableOUSHCONMN[[#This Row],[Structure Line]],8,LEN(TableOUSHCONMN[[#This Row],[Structure Line]]))</f>
        <v>Building Dissertation 2</v>
      </c>
      <c r="E36" s="31">
        <f>TableOUSHCONMN[[#This Row],[Credit Points]]</f>
        <v>50</v>
      </c>
      <c r="F36">
        <v>5</v>
      </c>
      <c r="G36" t="s">
        <v>347</v>
      </c>
      <c r="H36">
        <v>4</v>
      </c>
      <c r="I36" t="s">
        <v>348</v>
      </c>
      <c r="J36" t="s">
        <v>160</v>
      </c>
      <c r="K36" s="41">
        <v>2</v>
      </c>
      <c r="L36" s="41" t="s">
        <v>376</v>
      </c>
      <c r="M36" s="41">
        <v>50</v>
      </c>
      <c r="N36" s="65">
        <v>42370</v>
      </c>
      <c r="O36" s="65"/>
      <c r="Q36" t="s">
        <v>160</v>
      </c>
      <c r="R36">
        <v>2</v>
      </c>
    </row>
    <row r="37" spans="1:18" x14ac:dyDescent="0.25">
      <c r="A37" t="str">
        <f>TableOUSHCONMN[[#This Row],[Study Package Code]]</f>
        <v>BLDG4017</v>
      </c>
      <c r="B37" s="2">
        <f>TableOUSHCONMN[[#This Row],[Ver]]</f>
        <v>2</v>
      </c>
      <c r="C37" t="str">
        <f>LEFT(TableOUSHCONMN[[#This Row],[Structure Line]],6)</f>
        <v>CME404</v>
      </c>
      <c r="D37" t="str">
        <f>MID(TableOUSHCONMN[[#This Row],[Structure Line]],8,LEN(TableOUSHCONMN[[#This Row],[Structure Line]]))</f>
        <v>Facilities and Asset Management</v>
      </c>
      <c r="E37" s="31">
        <f>TableOUSHCONMN[[#This Row],[Credit Points]]</f>
        <v>25</v>
      </c>
      <c r="F37">
        <v>6</v>
      </c>
      <c r="G37" t="s">
        <v>347</v>
      </c>
      <c r="H37">
        <v>4</v>
      </c>
      <c r="I37" t="s">
        <v>348</v>
      </c>
      <c r="J37" t="s">
        <v>163</v>
      </c>
      <c r="K37" s="41">
        <v>2</v>
      </c>
      <c r="L37" s="41" t="s">
        <v>377</v>
      </c>
      <c r="M37" s="41">
        <v>25</v>
      </c>
      <c r="N37" s="65">
        <v>45108</v>
      </c>
      <c r="O37" s="65"/>
      <c r="Q37" t="s">
        <v>163</v>
      </c>
      <c r="R37">
        <v>2</v>
      </c>
    </row>
    <row r="38" spans="1:18" x14ac:dyDescent="0.25">
      <c r="A38" t="str">
        <f>TableOUSHCONMN[[#This Row],[Study Package Code]]</f>
        <v>BLDG4035</v>
      </c>
      <c r="B38" s="2">
        <f>TableOUSHCONMN[[#This Row],[Ver]]</f>
        <v>1</v>
      </c>
      <c r="C38" t="str">
        <f>LEFT(TableOUSHCONMN[[#This Row],[Structure Line]],6)</f>
        <v>CME425</v>
      </c>
      <c r="D38" t="str">
        <f>MID(TableOUSHCONMN[[#This Row],[Structure Line]],8,LEN(TableOUSHCONMN[[#This Row],[Structure Line]]))</f>
        <v>Engineering Measurement</v>
      </c>
      <c r="E38" s="31">
        <f>TableOUSHCONMN[[#This Row],[Credit Points]]</f>
        <v>25</v>
      </c>
      <c r="F38">
        <v>7</v>
      </c>
      <c r="G38" t="s">
        <v>347</v>
      </c>
      <c r="H38">
        <v>4</v>
      </c>
      <c r="I38" t="s">
        <v>348</v>
      </c>
      <c r="J38" t="s">
        <v>148</v>
      </c>
      <c r="K38" s="41">
        <v>1</v>
      </c>
      <c r="L38" s="41" t="s">
        <v>378</v>
      </c>
      <c r="M38" s="41">
        <v>25</v>
      </c>
      <c r="N38" s="65">
        <v>44927</v>
      </c>
      <c r="O38" s="65"/>
      <c r="Q38" t="s">
        <v>148</v>
      </c>
      <c r="R38">
        <v>1</v>
      </c>
    </row>
    <row r="39" spans="1:18" x14ac:dyDescent="0.25">
      <c r="B39"/>
      <c r="E39"/>
      <c r="F39" s="28"/>
      <c r="G39" s="29" t="s">
        <v>334</v>
      </c>
      <c r="H39" s="89">
        <v>43466</v>
      </c>
      <c r="J39" s="92" t="s">
        <v>106</v>
      </c>
      <c r="K39" s="91" t="s">
        <v>71</v>
      </c>
      <c r="L39" s="28" t="s">
        <v>105</v>
      </c>
      <c r="N39" s="61" t="s">
        <v>335</v>
      </c>
      <c r="O39" s="62">
        <v>45573</v>
      </c>
    </row>
    <row r="40" spans="1:18" x14ac:dyDescent="0.25">
      <c r="A40" t="s">
        <v>0</v>
      </c>
      <c r="B40" s="2" t="s">
        <v>336</v>
      </c>
      <c r="C40" t="s">
        <v>25</v>
      </c>
      <c r="D40" t="s">
        <v>3</v>
      </c>
      <c r="E40" s="31" t="s">
        <v>337</v>
      </c>
      <c r="F40" t="s">
        <v>338</v>
      </c>
      <c r="G40" t="s">
        <v>339</v>
      </c>
      <c r="H40" t="s">
        <v>340</v>
      </c>
      <c r="I40" t="s">
        <v>4</v>
      </c>
      <c r="J40" t="s">
        <v>341</v>
      </c>
      <c r="K40" t="s">
        <v>1</v>
      </c>
      <c r="L40" t="s">
        <v>342</v>
      </c>
      <c r="M40" t="s">
        <v>68</v>
      </c>
      <c r="N40" t="s">
        <v>343</v>
      </c>
      <c r="O40" t="s">
        <v>344</v>
      </c>
      <c r="Q40" t="s">
        <v>345</v>
      </c>
      <c r="R40" t="s">
        <v>346</v>
      </c>
    </row>
    <row r="41" spans="1:18" x14ac:dyDescent="0.25">
      <c r="A41" t="str">
        <f>TableOUSUCONMN[[#This Row],[Study Package Code]]</f>
        <v>BLDG4020</v>
      </c>
      <c r="B41" s="2">
        <f>TableOUSUCONMN[[#This Row],[Ver]]</f>
        <v>2</v>
      </c>
      <c r="C41" t="str">
        <f>LEFT(TableOUSUCONMN[[#This Row],[Structure Line]],6)</f>
        <v>CME405</v>
      </c>
      <c r="D41" t="str">
        <f>MID(TableOUSUCONMN[[#This Row],[Structure Line]],8,LEN(TableOUSUCONMN[[#This Row],[Structure Line]]))</f>
        <v>Research in Professional Practice in Construction</v>
      </c>
      <c r="E41" s="31">
        <f>TableOUSUCONMN[[#This Row],[Credit Points]]</f>
        <v>25</v>
      </c>
      <c r="F41">
        <v>1</v>
      </c>
      <c r="G41" t="s">
        <v>347</v>
      </c>
      <c r="H41">
        <v>4</v>
      </c>
      <c r="I41" t="s">
        <v>348</v>
      </c>
      <c r="J41" t="s">
        <v>152</v>
      </c>
      <c r="K41" s="41">
        <v>2</v>
      </c>
      <c r="L41" s="41" t="s">
        <v>379</v>
      </c>
      <c r="M41" s="41">
        <v>25</v>
      </c>
      <c r="N41" s="65">
        <v>43466</v>
      </c>
      <c r="O41" s="65"/>
      <c r="Q41" t="s">
        <v>152</v>
      </c>
      <c r="R41">
        <v>2</v>
      </c>
    </row>
    <row r="42" spans="1:18" x14ac:dyDescent="0.25">
      <c r="A42" t="str">
        <f>TableOUSUCONMN[[#This Row],[Study Package Code]]</f>
        <v>BLDG4024</v>
      </c>
      <c r="B42" s="2">
        <f>TableOUSUCONMN[[#This Row],[Ver]]</f>
        <v>3</v>
      </c>
      <c r="C42" t="str">
        <f>LEFT(TableOUSUCONMN[[#This Row],[Structure Line]],6)</f>
        <v>CME403</v>
      </c>
      <c r="D42" t="str">
        <f>MID(TableOUSUCONMN[[#This Row],[Structure Line]],8,LEN(TableOUSUCONMN[[#This Row],[Structure Line]]))</f>
        <v>Integrated Construction Project 1</v>
      </c>
      <c r="E42" s="31">
        <f>TableOUSUCONMN[[#This Row],[Credit Points]]</f>
        <v>25</v>
      </c>
      <c r="F42">
        <v>2</v>
      </c>
      <c r="G42" t="s">
        <v>347</v>
      </c>
      <c r="H42">
        <v>4</v>
      </c>
      <c r="I42" t="s">
        <v>348</v>
      </c>
      <c r="J42" t="s">
        <v>146</v>
      </c>
      <c r="K42" s="41">
        <v>3</v>
      </c>
      <c r="L42" s="41" t="s">
        <v>374</v>
      </c>
      <c r="M42" s="41">
        <v>25</v>
      </c>
      <c r="N42" s="65">
        <v>44927</v>
      </c>
      <c r="O42" s="65"/>
      <c r="Q42" t="s">
        <v>146</v>
      </c>
      <c r="R42">
        <v>3</v>
      </c>
    </row>
    <row r="43" spans="1:18" x14ac:dyDescent="0.25">
      <c r="A43" t="str">
        <f>TableOUSUCONMN[[#This Row],[Study Package Code]]</f>
        <v>BLDG4025</v>
      </c>
      <c r="B43" s="2">
        <f>TableOUSUCONMN[[#This Row],[Ver]]</f>
        <v>1</v>
      </c>
      <c r="C43" t="str">
        <f>LEFT(TableOUSUCONMN[[#This Row],[Structure Line]],6)</f>
        <v>CME402</v>
      </c>
      <c r="D43" t="str">
        <f>MID(TableOUSUCONMN[[#This Row],[Structure Line]],8,LEN(TableOUSUCONMN[[#This Row],[Structure Line]]))</f>
        <v>Project Development and Appraisal</v>
      </c>
      <c r="E43" s="31">
        <f>TableOUSUCONMN[[#This Row],[Credit Points]]</f>
        <v>25</v>
      </c>
      <c r="F43">
        <v>3</v>
      </c>
      <c r="G43" t="s">
        <v>347</v>
      </c>
      <c r="H43">
        <v>4</v>
      </c>
      <c r="I43" t="s">
        <v>348</v>
      </c>
      <c r="J43" t="s">
        <v>159</v>
      </c>
      <c r="K43" s="41">
        <v>1</v>
      </c>
      <c r="L43" s="41" t="s">
        <v>375</v>
      </c>
      <c r="M43" s="41">
        <v>25</v>
      </c>
      <c r="N43" s="65">
        <v>42370</v>
      </c>
      <c r="O43" s="65"/>
      <c r="Q43" t="s">
        <v>159</v>
      </c>
      <c r="R43">
        <v>1</v>
      </c>
    </row>
    <row r="44" spans="1:18" x14ac:dyDescent="0.25">
      <c r="A44" t="str">
        <f>TableOUSUCONMN[[#This Row],[Study Package Code]]</f>
        <v>BLDG4029</v>
      </c>
      <c r="B44" s="2">
        <f>TableOUSUCONMN[[#This Row],[Ver]]</f>
        <v>1</v>
      </c>
      <c r="C44" t="str">
        <f>LEFT(TableOUSUCONMN[[#This Row],[Structure Line]],6)</f>
        <v>CME415</v>
      </c>
      <c r="D44" t="str">
        <f>MID(TableOUSUCONMN[[#This Row],[Structure Line]],8,LEN(TableOUSUCONMN[[#This Row],[Structure Line]]))</f>
        <v>Contract Administration</v>
      </c>
      <c r="E44" s="31">
        <f>TableOUSUCONMN[[#This Row],[Credit Points]]</f>
        <v>25</v>
      </c>
      <c r="F44">
        <v>4</v>
      </c>
      <c r="G44" t="s">
        <v>347</v>
      </c>
      <c r="H44">
        <v>4</v>
      </c>
      <c r="I44" t="s">
        <v>348</v>
      </c>
      <c r="J44" t="s">
        <v>153</v>
      </c>
      <c r="K44" s="41">
        <v>1</v>
      </c>
      <c r="L44" s="41" t="s">
        <v>373</v>
      </c>
      <c r="M44" s="41">
        <v>25</v>
      </c>
      <c r="N44" s="65">
        <v>43466</v>
      </c>
      <c r="O44" s="65"/>
      <c r="Q44" t="s">
        <v>153</v>
      </c>
      <c r="R44">
        <v>1</v>
      </c>
    </row>
    <row r="45" spans="1:18" x14ac:dyDescent="0.25">
      <c r="A45" t="str">
        <f>TableOUSUCONMN[[#This Row],[Study Package Code]]</f>
        <v>BLDG4017</v>
      </c>
      <c r="B45" s="2">
        <f>TableOUSUCONMN[[#This Row],[Ver]]</f>
        <v>2</v>
      </c>
      <c r="C45" t="str">
        <f>LEFT(TableOUSUCONMN[[#This Row],[Structure Line]],6)</f>
        <v>CME404</v>
      </c>
      <c r="D45" t="str">
        <f>MID(TableOUSUCONMN[[#This Row],[Structure Line]],8,LEN(TableOUSUCONMN[[#This Row],[Structure Line]]))</f>
        <v>Facilities and Asset Management</v>
      </c>
      <c r="E45" s="31">
        <f>TableOUSUCONMN[[#This Row],[Credit Points]]</f>
        <v>25</v>
      </c>
      <c r="F45">
        <v>5</v>
      </c>
      <c r="G45" t="s">
        <v>347</v>
      </c>
      <c r="H45">
        <v>4</v>
      </c>
      <c r="I45" t="s">
        <v>348</v>
      </c>
      <c r="J45" t="s">
        <v>163</v>
      </c>
      <c r="K45" s="41">
        <v>2</v>
      </c>
      <c r="L45" s="41" t="s">
        <v>377</v>
      </c>
      <c r="M45" s="41">
        <v>25</v>
      </c>
      <c r="N45" s="65">
        <v>45108</v>
      </c>
      <c r="O45" s="65"/>
      <c r="Q45" t="s">
        <v>163</v>
      </c>
      <c r="R45">
        <v>2</v>
      </c>
    </row>
    <row r="46" spans="1:18" x14ac:dyDescent="0.25">
      <c r="A46" t="str">
        <f>TableOUSUCONMN[[#This Row],[Study Package Code]]</f>
        <v>BLDG4033</v>
      </c>
      <c r="B46" s="2">
        <f>TableOUSUCONMN[[#This Row],[Ver]]</f>
        <v>1</v>
      </c>
      <c r="C46" t="str">
        <f>LEFT(TableOUSUCONMN[[#This Row],[Structure Line]],6)</f>
        <v>CME417</v>
      </c>
      <c r="D46" t="str">
        <f>MID(TableOUSUCONMN[[#This Row],[Structure Line]],8,LEN(TableOUSUCONMN[[#This Row],[Structure Line]]))</f>
        <v>Integrated Construction Project 2</v>
      </c>
      <c r="E46" s="31">
        <f>TableOUSUCONMN[[#This Row],[Credit Points]]</f>
        <v>50</v>
      </c>
      <c r="F46">
        <v>6</v>
      </c>
      <c r="G46" t="s">
        <v>347</v>
      </c>
      <c r="H46">
        <v>4</v>
      </c>
      <c r="I46" t="s">
        <v>348</v>
      </c>
      <c r="J46" t="s">
        <v>158</v>
      </c>
      <c r="K46" s="41">
        <v>1</v>
      </c>
      <c r="L46" s="41" t="s">
        <v>380</v>
      </c>
      <c r="M46" s="41">
        <v>50</v>
      </c>
      <c r="N46" s="65">
        <v>43466</v>
      </c>
      <c r="O46" s="65"/>
      <c r="Q46" t="s">
        <v>158</v>
      </c>
      <c r="R46">
        <v>1</v>
      </c>
    </row>
    <row r="47" spans="1:18" x14ac:dyDescent="0.25">
      <c r="A47" t="str">
        <f>TableOUSUCONMN[[#This Row],[Study Package Code]]</f>
        <v>BLDG4035</v>
      </c>
      <c r="B47" s="2">
        <f>TableOUSUCONMN[[#This Row],[Ver]]</f>
        <v>1</v>
      </c>
      <c r="C47" t="str">
        <f>LEFT(TableOUSUCONMN[[#This Row],[Structure Line]],6)</f>
        <v>CME425</v>
      </c>
      <c r="D47" t="str">
        <f>MID(TableOUSUCONMN[[#This Row],[Structure Line]],8,LEN(TableOUSUCONMN[[#This Row],[Structure Line]]))</f>
        <v>Engineering Measurement</v>
      </c>
      <c r="E47" s="31">
        <f>TableOUSUCONMN[[#This Row],[Credit Points]]</f>
        <v>25</v>
      </c>
      <c r="F47">
        <v>7</v>
      </c>
      <c r="G47" t="s">
        <v>347</v>
      </c>
      <c r="H47">
        <v>4</v>
      </c>
      <c r="I47" t="s">
        <v>348</v>
      </c>
      <c r="J47" t="s">
        <v>148</v>
      </c>
      <c r="K47" s="41">
        <v>1</v>
      </c>
      <c r="L47" s="41" t="s">
        <v>378</v>
      </c>
      <c r="M47" s="41">
        <v>25</v>
      </c>
      <c r="N47" s="65">
        <v>44927</v>
      </c>
      <c r="O47" s="65"/>
      <c r="Q47" t="s">
        <v>148</v>
      </c>
      <c r="R47">
        <v>1</v>
      </c>
    </row>
    <row r="48" spans="1:18" x14ac:dyDescent="0.25">
      <c r="B48"/>
      <c r="E48"/>
      <c r="F48" s="28"/>
      <c r="G48" s="29" t="s">
        <v>334</v>
      </c>
      <c r="H48" s="89">
        <v>44562</v>
      </c>
      <c r="J48" s="92" t="s">
        <v>122</v>
      </c>
      <c r="K48" s="91" t="s">
        <v>123</v>
      </c>
      <c r="L48" s="28" t="s">
        <v>121</v>
      </c>
      <c r="N48" s="61" t="s">
        <v>335</v>
      </c>
      <c r="O48" s="62">
        <v>45573</v>
      </c>
    </row>
    <row r="49" spans="1:18" x14ac:dyDescent="0.25">
      <c r="A49" t="s">
        <v>0</v>
      </c>
      <c r="B49" s="2" t="s">
        <v>336</v>
      </c>
      <c r="C49" t="s">
        <v>25</v>
      </c>
      <c r="D49" t="s">
        <v>3</v>
      </c>
      <c r="E49" s="31" t="s">
        <v>337</v>
      </c>
      <c r="F49" t="s">
        <v>338</v>
      </c>
      <c r="G49" t="s">
        <v>339</v>
      </c>
      <c r="H49" t="s">
        <v>340</v>
      </c>
      <c r="I49" t="s">
        <v>4</v>
      </c>
      <c r="J49" t="s">
        <v>341</v>
      </c>
      <c r="K49" t="s">
        <v>1</v>
      </c>
      <c r="L49" t="s">
        <v>342</v>
      </c>
      <c r="M49" t="s">
        <v>68</v>
      </c>
      <c r="N49" t="s">
        <v>343</v>
      </c>
      <c r="O49" t="s">
        <v>344</v>
      </c>
      <c r="Q49" t="s">
        <v>345</v>
      </c>
      <c r="R49" t="s">
        <v>346</v>
      </c>
    </row>
    <row r="50" spans="1:18" x14ac:dyDescent="0.25">
      <c r="A50" t="str">
        <f>TableOSCUANGAD[[#This Row],[Study Package Code]]</f>
        <v>GRDE1022</v>
      </c>
      <c r="B50" s="2">
        <f>TableOSCUANGAD[[#This Row],[Ver]]</f>
        <v>1</v>
      </c>
      <c r="C50" t="str">
        <f>LEFT(TableOSCUANGAD[[#This Row],[Structure Line]],5)</f>
        <v>DIG10</v>
      </c>
      <c r="D50" t="str">
        <f>MID(TableOSCUANGAD[[#This Row],[Structure Line]],7,LEN(TableOSCUANGAD[[#This Row],[Structure Line]]))</f>
        <v>Game Design Introduction</v>
      </c>
      <c r="E50" s="31">
        <f>TableOSCUANGAD[[#This Row],[Credit Points]]</f>
        <v>25</v>
      </c>
      <c r="F50">
        <v>1</v>
      </c>
      <c r="G50" t="s">
        <v>347</v>
      </c>
      <c r="H50">
        <v>1</v>
      </c>
      <c r="I50" t="s">
        <v>348</v>
      </c>
      <c r="J50" t="s">
        <v>170</v>
      </c>
      <c r="K50" s="41">
        <v>1</v>
      </c>
      <c r="L50" s="41" t="s">
        <v>381</v>
      </c>
      <c r="M50" s="41">
        <v>25</v>
      </c>
      <c r="N50" s="65">
        <v>43466</v>
      </c>
      <c r="O50" s="65"/>
      <c r="Q50" t="s">
        <v>170</v>
      </c>
      <c r="R50">
        <v>1</v>
      </c>
    </row>
    <row r="51" spans="1:18" x14ac:dyDescent="0.25">
      <c r="A51" t="str">
        <f>TableOSCUANGAD[[#This Row],[Study Package Code]]</f>
        <v>GRDE2036</v>
      </c>
      <c r="B51" s="2">
        <f>TableOSCUANGAD[[#This Row],[Ver]]</f>
        <v>1</v>
      </c>
      <c r="C51" t="str">
        <f>LEFT(TableOSCUANGAD[[#This Row],[Structure Line]],6)</f>
        <v>DIG230</v>
      </c>
      <c r="D51" t="str">
        <f>MID(TableOSCUANGAD[[#This Row],[Structure Line]],8,LEN(TableOSCUANGAD[[#This Row],[Structure Line]]))</f>
        <v>Introduction to 3D Modelling and Rendering</v>
      </c>
      <c r="E51" s="31">
        <f>TableOSCUANGAD[[#This Row],[Credit Points]]</f>
        <v>25</v>
      </c>
      <c r="F51">
        <v>2</v>
      </c>
      <c r="G51" t="s">
        <v>347</v>
      </c>
      <c r="H51">
        <v>2</v>
      </c>
      <c r="I51" t="s">
        <v>348</v>
      </c>
      <c r="J51" t="s">
        <v>174</v>
      </c>
      <c r="K51" s="41">
        <v>1</v>
      </c>
      <c r="L51" s="41" t="s">
        <v>382</v>
      </c>
      <c r="M51" s="41">
        <v>25</v>
      </c>
      <c r="N51" s="65">
        <v>43101</v>
      </c>
      <c r="O51" s="65"/>
      <c r="Q51" t="s">
        <v>174</v>
      </c>
      <c r="R51">
        <v>1</v>
      </c>
    </row>
    <row r="52" spans="1:18" x14ac:dyDescent="0.25">
      <c r="A52" t="str">
        <f>TableOSCUANGAD[[#This Row],[Study Package Code]]</f>
        <v>GRDE2042</v>
      </c>
      <c r="B52" s="2">
        <f>TableOSCUANGAD[[#This Row],[Ver]]</f>
        <v>1</v>
      </c>
      <c r="C52" t="str">
        <f>LEFT(TableOSCUANGAD[[#This Row],[Structure Line]],5)</f>
        <v>DIG28</v>
      </c>
      <c r="D52" t="str">
        <f>MID(TableOSCUANGAD[[#This Row],[Structure Line]],7,LEN(TableOSCUANGAD[[#This Row],[Structure Line]]))</f>
        <v>Animation and Motion Graphics Design</v>
      </c>
      <c r="E52" s="31">
        <f>TableOSCUANGAD[[#This Row],[Credit Points]]</f>
        <v>25</v>
      </c>
      <c r="F52">
        <v>3</v>
      </c>
      <c r="G52" t="s">
        <v>347</v>
      </c>
      <c r="H52">
        <v>2</v>
      </c>
      <c r="I52" t="s">
        <v>348</v>
      </c>
      <c r="J52" t="s">
        <v>178</v>
      </c>
      <c r="K52" s="41">
        <v>1</v>
      </c>
      <c r="L52" s="41" t="s">
        <v>383</v>
      </c>
      <c r="M52" s="41">
        <v>25</v>
      </c>
      <c r="N52" s="65">
        <v>43282</v>
      </c>
      <c r="O52" s="65"/>
      <c r="Q52" t="s">
        <v>178</v>
      </c>
      <c r="R52">
        <v>1</v>
      </c>
    </row>
    <row r="53" spans="1:18" x14ac:dyDescent="0.25">
      <c r="A53" t="str">
        <f>TableOSCUANGAD[[#This Row],[Study Package Code]]</f>
        <v>AC-ANGAD</v>
      </c>
      <c r="B53" s="2">
        <f>TableOSCUANGAD[[#This Row],[Ver]]</f>
        <v>0</v>
      </c>
      <c r="D53" t="str">
        <f>TableOSCUANGAD[[#This Row],[Structure Line]]</f>
        <v>Choose GRDE3033 or WORK3002</v>
      </c>
      <c r="E53" s="31">
        <f>TableOSCUANGAD[[#This Row],[Credit Points]]</f>
        <v>25</v>
      </c>
      <c r="F53">
        <v>4</v>
      </c>
      <c r="G53" t="s">
        <v>370</v>
      </c>
      <c r="H53">
        <v>3</v>
      </c>
      <c r="I53" t="s">
        <v>348</v>
      </c>
      <c r="J53" t="s">
        <v>184</v>
      </c>
      <c r="K53" s="41">
        <v>0</v>
      </c>
      <c r="L53" s="41" t="s">
        <v>384</v>
      </c>
      <c r="M53" s="41">
        <v>25</v>
      </c>
      <c r="N53" s="65"/>
      <c r="O53" s="65"/>
      <c r="Q53" t="s">
        <v>184</v>
      </c>
      <c r="R53">
        <v>0</v>
      </c>
    </row>
    <row r="54" spans="1:18" x14ac:dyDescent="0.25">
      <c r="A54" t="str">
        <f>TableOSCUANGAD[[#This Row],[Study Package Code]]</f>
        <v>GRDE3033</v>
      </c>
      <c r="B54" s="2">
        <f>TableOSCUANGAD[[#This Row],[Ver]]</f>
        <v>2</v>
      </c>
      <c r="C54" t="str">
        <f>LEFT(TableOSCUANGAD[[#This Row],[Structure Line]],5)</f>
        <v>DIG39</v>
      </c>
      <c r="D54" t="str">
        <f>MID(TableOSCUANGAD[[#This Row],[Structure Line]],7,LEN(TableOSCUANGAD[[#This Row],[Structure Line]]))</f>
        <v>Industry Project Development</v>
      </c>
      <c r="E54" s="31">
        <f>TableOSCUANGAD[[#This Row],[Credit Points]]</f>
        <v>25</v>
      </c>
      <c r="F54">
        <v>4</v>
      </c>
      <c r="G54" t="s">
        <v>370</v>
      </c>
      <c r="H54">
        <v>3</v>
      </c>
      <c r="I54" t="s">
        <v>348</v>
      </c>
      <c r="J54" t="s">
        <v>188</v>
      </c>
      <c r="K54" s="41">
        <v>2</v>
      </c>
      <c r="L54" s="41" t="s">
        <v>385</v>
      </c>
      <c r="M54" s="41">
        <v>25</v>
      </c>
      <c r="N54" s="65">
        <v>44378</v>
      </c>
      <c r="O54" s="65"/>
      <c r="Q54" t="s">
        <v>188</v>
      </c>
      <c r="R54">
        <v>2</v>
      </c>
    </row>
    <row r="55" spans="1:18" x14ac:dyDescent="0.25">
      <c r="A55" t="str">
        <f>TableOSCUANGAD[[#This Row],[Study Package Code]]</f>
        <v>WORK3002</v>
      </c>
      <c r="B55" s="2">
        <f>TableOSCUANGAD[[#This Row],[Ver]]</f>
        <v>1</v>
      </c>
      <c r="C55" t="str">
        <f>LEFT(TableOSCUANGAD[[#This Row],[Structure Line]],6)</f>
        <v>WBP300</v>
      </c>
      <c r="D55" t="str">
        <f>MID(TableOSCUANGAD[[#This Row],[Structure Line]],8,LEN(TableOSCUANGAD[[#This Row],[Structure Line]]))</f>
        <v>Work Based Project</v>
      </c>
      <c r="E55" s="31">
        <f>TableOSCUANGAD[[#This Row],[Credit Points]]</f>
        <v>25</v>
      </c>
      <c r="F55">
        <v>4</v>
      </c>
      <c r="G55" t="s">
        <v>370</v>
      </c>
      <c r="H55">
        <v>3</v>
      </c>
      <c r="I55" t="s">
        <v>348</v>
      </c>
      <c r="J55" t="s">
        <v>192</v>
      </c>
      <c r="K55" s="41">
        <v>1</v>
      </c>
      <c r="L55" s="41" t="s">
        <v>386</v>
      </c>
      <c r="M55" s="41">
        <v>25</v>
      </c>
      <c r="N55" s="65">
        <v>44287</v>
      </c>
      <c r="O55" s="65"/>
      <c r="Q55" t="s">
        <v>192</v>
      </c>
      <c r="R55">
        <v>1</v>
      </c>
    </row>
    <row r="56" spans="1:18" x14ac:dyDescent="0.25">
      <c r="B56"/>
      <c r="E56"/>
      <c r="F56" s="28"/>
      <c r="G56" s="29" t="s">
        <v>334</v>
      </c>
      <c r="H56" s="89">
        <v>45292</v>
      </c>
      <c r="J56" s="92" t="s">
        <v>127</v>
      </c>
      <c r="K56" s="91" t="s">
        <v>128</v>
      </c>
      <c r="L56" s="28" t="s">
        <v>18</v>
      </c>
      <c r="N56" s="61" t="s">
        <v>335</v>
      </c>
      <c r="O56" s="62">
        <v>45573</v>
      </c>
    </row>
    <row r="57" spans="1:18" x14ac:dyDescent="0.25">
      <c r="A57" t="s">
        <v>0</v>
      </c>
      <c r="B57" s="2" t="s">
        <v>336</v>
      </c>
      <c r="C57" t="s">
        <v>25</v>
      </c>
      <c r="D57" t="s">
        <v>3</v>
      </c>
      <c r="E57" s="31" t="s">
        <v>337</v>
      </c>
      <c r="F57" t="s">
        <v>338</v>
      </c>
      <c r="G57" t="s">
        <v>339</v>
      </c>
      <c r="H57" t="s">
        <v>340</v>
      </c>
      <c r="I57" t="s">
        <v>4</v>
      </c>
      <c r="J57" t="s">
        <v>341</v>
      </c>
      <c r="K57" t="s">
        <v>1</v>
      </c>
      <c r="L57" t="s">
        <v>342</v>
      </c>
      <c r="M57" t="s">
        <v>68</v>
      </c>
      <c r="N57" t="s">
        <v>343</v>
      </c>
      <c r="O57" t="s">
        <v>344</v>
      </c>
      <c r="Q57" t="s">
        <v>345</v>
      </c>
      <c r="R57" t="s">
        <v>346</v>
      </c>
    </row>
    <row r="58" spans="1:18" x14ac:dyDescent="0.25">
      <c r="A58" t="str">
        <f>TableOSCUINARS[[#This Row],[Study Package Code]]</f>
        <v>INAR2023</v>
      </c>
      <c r="B58" s="2">
        <f>TableOSCUINARS[[#This Row],[Ver]]</f>
        <v>1</v>
      </c>
      <c r="C58" t="str">
        <f>LEFT(TableOSCUINARS[[#This Row],[Structure Line]],6)</f>
        <v>BIA280</v>
      </c>
      <c r="D58" t="str">
        <f>MID(TableOSCUINARS[[#This Row],[Structure Line]],8,LEN(TableOSCUINARS[[#This Row],[Structure Line]]))</f>
        <v>Philosophy and Practice</v>
      </c>
      <c r="E58" s="31">
        <f>TableOSCUINARS[[#This Row],[Credit Points]]</f>
        <v>25</v>
      </c>
      <c r="F58">
        <v>1</v>
      </c>
      <c r="G58" t="s">
        <v>347</v>
      </c>
      <c r="H58">
        <v>0</v>
      </c>
      <c r="I58" t="s">
        <v>348</v>
      </c>
      <c r="J58" t="s">
        <v>185</v>
      </c>
      <c r="K58" s="41">
        <v>1</v>
      </c>
      <c r="L58" s="41" t="s">
        <v>387</v>
      </c>
      <c r="M58" s="41">
        <v>25</v>
      </c>
      <c r="N58" s="65">
        <v>44562</v>
      </c>
      <c r="O58" s="65"/>
      <c r="Q58" t="s">
        <v>185</v>
      </c>
      <c r="R58">
        <v>1</v>
      </c>
    </row>
    <row r="59" spans="1:18" x14ac:dyDescent="0.25">
      <c r="A59" t="str">
        <f>TableOSCUINARS[[#This Row],[Study Package Code]]</f>
        <v>INAR3021</v>
      </c>
      <c r="B59" s="2">
        <f>TableOSCUINARS[[#This Row],[Ver]]</f>
        <v>1</v>
      </c>
      <c r="C59" t="str">
        <f>LEFT(TableOSCUINARS[[#This Row],[Structure Line]],6)</f>
        <v>BIA390</v>
      </c>
      <c r="D59" t="str">
        <f>MID(TableOSCUINARS[[#This Row],[Structure Line]],8,LEN(TableOSCUINARS[[#This Row],[Structure Line]]))</f>
        <v>Furniture Design</v>
      </c>
      <c r="E59" s="31">
        <f>TableOSCUINARS[[#This Row],[Credit Points]]</f>
        <v>25</v>
      </c>
      <c r="F59">
        <v>2</v>
      </c>
      <c r="G59" t="s">
        <v>347</v>
      </c>
      <c r="H59">
        <v>0</v>
      </c>
      <c r="I59" t="s">
        <v>348</v>
      </c>
      <c r="J59" t="s">
        <v>189</v>
      </c>
      <c r="K59" s="41">
        <v>1</v>
      </c>
      <c r="L59" s="41" t="s">
        <v>388</v>
      </c>
      <c r="M59" s="41">
        <v>25</v>
      </c>
      <c r="N59" s="65">
        <v>45292</v>
      </c>
      <c r="O59" s="65"/>
      <c r="Q59" t="s">
        <v>189</v>
      </c>
      <c r="R59">
        <v>1</v>
      </c>
    </row>
    <row r="60" spans="1:18" x14ac:dyDescent="0.25">
      <c r="A60" t="str">
        <f>TableOSCUINARS[[#This Row],[Study Package Code]]</f>
        <v>AC-INARS</v>
      </c>
      <c r="B60" s="2">
        <f>TableOSCUINARS[[#This Row],[Ver]]</f>
        <v>0</v>
      </c>
      <c r="D60" t="str">
        <f>TableOSCUINARS[[#This Row],[Structure Line]]</f>
        <v>Choose INAR1011 BIA140 or INAR1015 BIA170</v>
      </c>
      <c r="E60" s="31">
        <f>TableOSCUINARS[[#This Row],[Credit Points]]</f>
        <v>25</v>
      </c>
      <c r="F60">
        <v>3</v>
      </c>
      <c r="G60" t="s">
        <v>370</v>
      </c>
      <c r="H60">
        <v>0</v>
      </c>
      <c r="I60" t="s">
        <v>348</v>
      </c>
      <c r="J60" t="s">
        <v>168</v>
      </c>
      <c r="K60" s="41">
        <v>0</v>
      </c>
      <c r="L60" s="41" t="s">
        <v>389</v>
      </c>
      <c r="M60" s="41">
        <v>25</v>
      </c>
      <c r="N60" s="65"/>
      <c r="O60" s="65"/>
      <c r="Q60" t="s">
        <v>168</v>
      </c>
      <c r="R60">
        <v>0</v>
      </c>
    </row>
    <row r="61" spans="1:18" x14ac:dyDescent="0.25">
      <c r="A61" t="str">
        <f>TableOSCUINARS[[#This Row],[Study Package Code]]</f>
        <v>Opt-INARS</v>
      </c>
      <c r="B61" s="2">
        <f>TableOSCUINARS[[#This Row],[Ver]]</f>
        <v>0</v>
      </c>
      <c r="D61" t="str">
        <f>TableOSCUINARS[[#This Row],[Structure Line]]</f>
        <v>Choose an Option</v>
      </c>
      <c r="E61" s="31">
        <f>TableOSCUINARS[[#This Row],[Credit Points]]</f>
        <v>25</v>
      </c>
      <c r="F61">
        <v>4</v>
      </c>
      <c r="G61" t="s">
        <v>363</v>
      </c>
      <c r="H61">
        <v>0</v>
      </c>
      <c r="I61" t="s">
        <v>348</v>
      </c>
      <c r="J61" t="s">
        <v>194</v>
      </c>
      <c r="K61" s="41">
        <v>0</v>
      </c>
      <c r="L61" s="41" t="s">
        <v>390</v>
      </c>
      <c r="M61" s="41">
        <v>25</v>
      </c>
      <c r="N61" s="65"/>
      <c r="O61" s="65"/>
      <c r="Q61" t="s">
        <v>194</v>
      </c>
      <c r="R61">
        <v>0</v>
      </c>
    </row>
    <row r="62" spans="1:18" x14ac:dyDescent="0.25">
      <c r="A62" t="str">
        <f>TableOSCUINARS[[#This Row],[Study Package Code]]</f>
        <v>INAR1011</v>
      </c>
      <c r="B62" s="2">
        <f>TableOSCUINARS[[#This Row],[Ver]]</f>
        <v>4</v>
      </c>
      <c r="C62" t="str">
        <f>LEFT(TableOSCUINARS[[#This Row],[Structure Line]],6)</f>
        <v>BIA140</v>
      </c>
      <c r="D62" t="str">
        <f>MID(TableOSCUINARS[[#This Row],[Structure Line]],8,LEN(TableOSCUINARS[[#This Row],[Structure Line]]))</f>
        <v>Interior Architecture Studio - Foundation</v>
      </c>
      <c r="E62" s="31">
        <f>TableOSCUINARS[[#This Row],[Credit Points]]</f>
        <v>25</v>
      </c>
      <c r="F62">
        <v>3</v>
      </c>
      <c r="G62" t="s">
        <v>370</v>
      </c>
      <c r="H62">
        <v>0</v>
      </c>
      <c r="I62" t="s">
        <v>348</v>
      </c>
      <c r="J62" t="s">
        <v>171</v>
      </c>
      <c r="K62" s="41">
        <v>4</v>
      </c>
      <c r="L62" s="41" t="s">
        <v>391</v>
      </c>
      <c r="M62" s="41">
        <v>25</v>
      </c>
      <c r="N62" s="65">
        <v>45292</v>
      </c>
      <c r="O62" s="65"/>
      <c r="Q62" t="s">
        <v>171</v>
      </c>
      <c r="R62">
        <v>4</v>
      </c>
    </row>
    <row r="63" spans="1:18" x14ac:dyDescent="0.25">
      <c r="A63" t="str">
        <f>TableOSCUINARS[[#This Row],[Study Package Code]]</f>
        <v>INAR1015</v>
      </c>
      <c r="B63" s="2">
        <f>TableOSCUINARS[[#This Row],[Ver]]</f>
        <v>1</v>
      </c>
      <c r="C63" t="str">
        <f>LEFT(TableOSCUINARS[[#This Row],[Structure Line]],6)</f>
        <v>BIA170</v>
      </c>
      <c r="D63" t="str">
        <f>MID(TableOSCUINARS[[#This Row],[Structure Line]],8,LEN(TableOSCUINARS[[#This Row],[Structure Line]]))</f>
        <v>History of the Interior</v>
      </c>
      <c r="E63" s="31">
        <f>TableOSCUINARS[[#This Row],[Credit Points]]</f>
        <v>25</v>
      </c>
      <c r="F63">
        <v>3</v>
      </c>
      <c r="G63" t="s">
        <v>370</v>
      </c>
      <c r="H63">
        <v>0</v>
      </c>
      <c r="I63" t="s">
        <v>348</v>
      </c>
      <c r="J63" t="s">
        <v>175</v>
      </c>
      <c r="K63" s="41">
        <v>1</v>
      </c>
      <c r="L63" s="41" t="s">
        <v>392</v>
      </c>
      <c r="M63" s="41">
        <v>25</v>
      </c>
      <c r="N63" s="65">
        <v>43101</v>
      </c>
      <c r="O63" s="65"/>
      <c r="Q63" t="s">
        <v>175</v>
      </c>
      <c r="R63">
        <v>1</v>
      </c>
    </row>
    <row r="64" spans="1:18" x14ac:dyDescent="0.25">
      <c r="A64" t="str">
        <f>TableOSCUINARS[[#This Row],[Study Package Code]]</f>
        <v>INAR2015</v>
      </c>
      <c r="B64" s="2">
        <f>TableOSCUINARS[[#This Row],[Ver]]</f>
        <v>4</v>
      </c>
      <c r="C64" t="str">
        <f>LEFT(TableOSCUINARS[[#This Row],[Structure Line]],6)</f>
        <v>BIA250</v>
      </c>
      <c r="D64" t="str">
        <f>MID(TableOSCUINARS[[#This Row],[Structure Line]],8,LEN(TableOSCUINARS[[#This Row],[Structure Line]]))</f>
        <v>Interior Architecture Studio – Community</v>
      </c>
      <c r="E64" s="31">
        <f>TableOSCUINARS[[#This Row],[Credit Points]]</f>
        <v>25</v>
      </c>
      <c r="F64">
        <v>4</v>
      </c>
      <c r="G64" t="s">
        <v>363</v>
      </c>
      <c r="H64">
        <v>0</v>
      </c>
      <c r="I64" t="s">
        <v>348</v>
      </c>
      <c r="J64" t="s">
        <v>196</v>
      </c>
      <c r="K64" s="41">
        <v>4</v>
      </c>
      <c r="L64" s="41" t="s">
        <v>393</v>
      </c>
      <c r="M64" s="41">
        <v>25</v>
      </c>
      <c r="N64" s="65">
        <v>45292</v>
      </c>
      <c r="O64" s="65"/>
      <c r="Q64" t="s">
        <v>196</v>
      </c>
      <c r="R64">
        <v>4</v>
      </c>
    </row>
    <row r="65" spans="1:18" x14ac:dyDescent="0.25">
      <c r="A65" t="str">
        <f>TableOSCUINARS[[#This Row],[Study Package Code]]</f>
        <v>INAR2025</v>
      </c>
      <c r="B65" s="2">
        <f>TableOSCUINARS[[#This Row],[Ver]]</f>
        <v>1</v>
      </c>
      <c r="C65" t="str">
        <f>LEFT(TableOSCUINARS[[#This Row],[Structure Line]],6)</f>
        <v>BIA290</v>
      </c>
      <c r="D65" t="str">
        <f>MID(TableOSCUINARS[[#This Row],[Structure Line]],8,LEN(TableOSCUINARS[[#This Row],[Structure Line]]))</f>
        <v>Design Fabrication</v>
      </c>
      <c r="E65" s="31">
        <f>TableOSCUINARS[[#This Row],[Credit Points]]</f>
        <v>25</v>
      </c>
      <c r="F65">
        <v>4</v>
      </c>
      <c r="G65" t="s">
        <v>363</v>
      </c>
      <c r="H65">
        <v>0</v>
      </c>
      <c r="I65" t="s">
        <v>348</v>
      </c>
      <c r="J65" t="s">
        <v>198</v>
      </c>
      <c r="K65" s="41">
        <v>1</v>
      </c>
      <c r="L65" s="41" t="s">
        <v>394</v>
      </c>
      <c r="M65" s="41">
        <v>25</v>
      </c>
      <c r="N65" s="65">
        <v>45292</v>
      </c>
      <c r="O65" s="65"/>
      <c r="Q65" t="s">
        <v>198</v>
      </c>
      <c r="R65">
        <v>1</v>
      </c>
    </row>
    <row r="66" spans="1:18" x14ac:dyDescent="0.25">
      <c r="A66" t="str">
        <f>TableOSCUINARS[[#This Row],[Study Package Code]]</f>
        <v>WORK2006</v>
      </c>
      <c r="B66" s="2">
        <f>TableOSCUINARS[[#This Row],[Ver]]</f>
        <v>3</v>
      </c>
      <c r="C66" t="str">
        <f>LEFT(TableOSCUINARS[[#This Row],[Structure Line]],6)</f>
        <v>GOL200</v>
      </c>
      <c r="D66" t="str">
        <f>MID(TableOSCUINARS[[#This Row],[Structure Line]],8,LEN(TableOSCUINARS[[#This Row],[Structure Line]]))</f>
        <v>Changemakers Innovation Lab</v>
      </c>
      <c r="E66" s="31">
        <f>TableOSCUINARS[[#This Row],[Credit Points]]</f>
        <v>25</v>
      </c>
      <c r="F66">
        <v>4</v>
      </c>
      <c r="G66" t="s">
        <v>363</v>
      </c>
      <c r="H66">
        <v>0</v>
      </c>
      <c r="I66" t="s">
        <v>348</v>
      </c>
      <c r="J66" t="s">
        <v>200</v>
      </c>
      <c r="K66" s="41">
        <v>3</v>
      </c>
      <c r="L66" s="41" t="s">
        <v>395</v>
      </c>
      <c r="M66" s="41">
        <v>25</v>
      </c>
      <c r="N66" s="65">
        <v>45474</v>
      </c>
      <c r="O66" s="65"/>
      <c r="Q66" t="s">
        <v>200</v>
      </c>
      <c r="R66">
        <v>1</v>
      </c>
    </row>
    <row r="67" spans="1:18" x14ac:dyDescent="0.25">
      <c r="A67" t="str">
        <f>TableOSCUINARS[[#This Row],[Study Package Code]]</f>
        <v>WORK2007</v>
      </c>
      <c r="B67" s="2">
        <f>TableOSCUINARS[[#This Row],[Ver]]</f>
        <v>1</v>
      </c>
      <c r="C67" t="str">
        <f>LEFT(TableOSCUINARS[[#This Row],[Structure Line]],6)</f>
        <v>GOL210</v>
      </c>
      <c r="D67" t="str">
        <f>MID(TableOSCUINARS[[#This Row],[Structure Line]],8,LEN(TableOSCUINARS[[#This Row],[Structure Line]]))</f>
        <v>Regional Industry Placement 2</v>
      </c>
      <c r="E67" s="31">
        <f>TableOSCUINARS[[#This Row],[Credit Points]]</f>
        <v>25</v>
      </c>
      <c r="F67">
        <v>4</v>
      </c>
      <c r="G67" t="s">
        <v>363</v>
      </c>
      <c r="H67">
        <v>0</v>
      </c>
      <c r="I67" t="s">
        <v>348</v>
      </c>
      <c r="J67" t="s">
        <v>326</v>
      </c>
      <c r="K67" s="41">
        <v>1</v>
      </c>
      <c r="L67" s="41" t="s">
        <v>396</v>
      </c>
      <c r="M67" s="41">
        <v>25</v>
      </c>
      <c r="N67" s="65">
        <v>44743</v>
      </c>
      <c r="O67" s="65">
        <v>44926</v>
      </c>
      <c r="Q67" t="s">
        <v>326</v>
      </c>
      <c r="R67">
        <v>1</v>
      </c>
    </row>
    <row r="68" spans="1:18" x14ac:dyDescent="0.25">
      <c r="A68" t="str">
        <f>TableOSCUINARS[[#This Row],[Study Package Code]]</f>
        <v>WORK3002</v>
      </c>
      <c r="B68" s="2">
        <f>TableOSCUINARS[[#This Row],[Ver]]</f>
        <v>1</v>
      </c>
      <c r="C68" t="str">
        <f>LEFT(TableOSCUINARS[[#This Row],[Structure Line]],6)</f>
        <v>WBP300</v>
      </c>
      <c r="D68" t="str">
        <f>MID(TableOSCUINARS[[#This Row],[Structure Line]],8,LEN(TableOSCUINARS[[#This Row],[Structure Line]]))</f>
        <v>Work Based Project</v>
      </c>
      <c r="E68" s="31">
        <f>TableOSCUINARS[[#This Row],[Credit Points]]</f>
        <v>25</v>
      </c>
      <c r="F68">
        <v>4</v>
      </c>
      <c r="G68" t="s">
        <v>363</v>
      </c>
      <c r="H68">
        <v>0</v>
      </c>
      <c r="I68" t="s">
        <v>348</v>
      </c>
      <c r="J68" t="s">
        <v>192</v>
      </c>
      <c r="K68" s="41">
        <v>1</v>
      </c>
      <c r="L68" s="41" t="s">
        <v>386</v>
      </c>
      <c r="M68" s="41">
        <v>25</v>
      </c>
      <c r="N68" s="65">
        <v>44287</v>
      </c>
      <c r="O68" s="65"/>
      <c r="Q68" t="s">
        <v>192</v>
      </c>
      <c r="R68">
        <v>1</v>
      </c>
    </row>
    <row r="69" spans="1:18" x14ac:dyDescent="0.25">
      <c r="A69" t="str">
        <f>TableOSCUINARS[[#This Row],[Study Package Code]]</f>
        <v>WORK3009</v>
      </c>
      <c r="B69" s="2">
        <f>TableOSCUINARS[[#This Row],[Ver]]</f>
        <v>1</v>
      </c>
      <c r="C69" t="str">
        <f>LEFT(TableOSCUINARS[[#This Row],[Structure Line]],6)</f>
        <v>GOG300</v>
      </c>
      <c r="D69" t="str">
        <f>MID(TableOSCUINARS[[#This Row],[Structure Line]],8,LEN(TableOSCUINARS[[#This Row],[Structure Line]]))</f>
        <v>Go Global - Internship 4</v>
      </c>
      <c r="E69" s="31">
        <f>TableOSCUINARS[[#This Row],[Credit Points]]</f>
        <v>25</v>
      </c>
      <c r="F69">
        <v>4</v>
      </c>
      <c r="G69" t="s">
        <v>363</v>
      </c>
      <c r="H69">
        <v>0</v>
      </c>
      <c r="I69" t="s">
        <v>348</v>
      </c>
      <c r="J69" t="s">
        <v>203</v>
      </c>
      <c r="K69" s="41">
        <v>1</v>
      </c>
      <c r="L69" s="41" t="s">
        <v>397</v>
      </c>
      <c r="M69" s="41">
        <v>25</v>
      </c>
      <c r="N69" s="65">
        <v>44927</v>
      </c>
      <c r="O69" s="65"/>
      <c r="Q69" t="s">
        <v>203</v>
      </c>
      <c r="R69">
        <v>1</v>
      </c>
    </row>
    <row r="70" spans="1:18" x14ac:dyDescent="0.25">
      <c r="B70"/>
      <c r="E70"/>
      <c r="F70" s="28"/>
      <c r="G70" s="29" t="s">
        <v>334</v>
      </c>
      <c r="H70" s="89">
        <v>44743</v>
      </c>
      <c r="J70" s="92" t="s">
        <v>131</v>
      </c>
      <c r="K70" s="91" t="s">
        <v>123</v>
      </c>
      <c r="L70" s="28" t="s">
        <v>130</v>
      </c>
      <c r="N70" s="61" t="s">
        <v>335</v>
      </c>
      <c r="O70" s="62">
        <v>45573</v>
      </c>
    </row>
    <row r="71" spans="1:18" x14ac:dyDescent="0.25">
      <c r="A71" t="s">
        <v>0</v>
      </c>
      <c r="B71" s="2" t="s">
        <v>336</v>
      </c>
      <c r="C71" t="s">
        <v>25</v>
      </c>
      <c r="D71" t="s">
        <v>3</v>
      </c>
      <c r="E71" s="31" t="s">
        <v>337</v>
      </c>
      <c r="F71" t="s">
        <v>338</v>
      </c>
      <c r="G71" t="s">
        <v>339</v>
      </c>
      <c r="H71" t="s">
        <v>340</v>
      </c>
      <c r="I71" t="s">
        <v>4</v>
      </c>
      <c r="J71" t="s">
        <v>341</v>
      </c>
      <c r="K71" t="s">
        <v>1</v>
      </c>
      <c r="L71" t="s">
        <v>342</v>
      </c>
      <c r="M71" t="s">
        <v>68</v>
      </c>
      <c r="N71" t="s">
        <v>343</v>
      </c>
      <c r="O71" t="s">
        <v>344</v>
      </c>
      <c r="Q71" t="s">
        <v>345</v>
      </c>
      <c r="R71" t="s">
        <v>346</v>
      </c>
    </row>
    <row r="72" spans="1:18" x14ac:dyDescent="0.25">
      <c r="A72" t="str">
        <f>TableOSCUPLGEO[[#This Row],[Study Package Code]]</f>
        <v>URDE1008</v>
      </c>
      <c r="B72" s="2">
        <f>TableOSCUPLGEO[[#This Row],[Ver]]</f>
        <v>1</v>
      </c>
      <c r="C72" t="str">
        <f>LEFT(TableOSCUPLGEO[[#This Row],[Structure Line]],6)</f>
        <v>URP110</v>
      </c>
      <c r="D72" t="str">
        <f>MID(TableOSCUPLGEO[[#This Row],[Structure Line]],8,LEN(TableOSCUPLGEO[[#This Row],[Structure Line]]))</f>
        <v>Introduction to Planning</v>
      </c>
      <c r="E72" s="31">
        <f>TableOSCUPLGEO[[#This Row],[Credit Points]]</f>
        <v>25</v>
      </c>
      <c r="F72">
        <v>1</v>
      </c>
      <c r="G72" t="s">
        <v>347</v>
      </c>
      <c r="H72">
        <v>1</v>
      </c>
      <c r="I72" t="s">
        <v>348</v>
      </c>
      <c r="J72" t="s">
        <v>176</v>
      </c>
      <c r="K72" s="41">
        <v>1</v>
      </c>
      <c r="L72" s="41" t="s">
        <v>398</v>
      </c>
      <c r="M72" s="41">
        <v>25</v>
      </c>
      <c r="N72" s="65">
        <v>42979</v>
      </c>
      <c r="O72" s="65"/>
      <c r="Q72" t="s">
        <v>176</v>
      </c>
      <c r="R72">
        <v>1</v>
      </c>
    </row>
    <row r="73" spans="1:18" x14ac:dyDescent="0.25">
      <c r="A73" t="str">
        <f>TableOSCUPLGEO[[#This Row],[Study Package Code]]</f>
        <v>URDE1007</v>
      </c>
      <c r="B73" s="2">
        <f>TableOSCUPLGEO[[#This Row],[Ver]]</f>
        <v>1</v>
      </c>
      <c r="C73" t="str">
        <f>LEFT(TableOSCUPLGEO[[#This Row],[Structure Line]],6)</f>
        <v>URP100</v>
      </c>
      <c r="D73" t="str">
        <f>MID(TableOSCUPLGEO[[#This Row],[Structure Line]],8,LEN(TableOSCUPLGEO[[#This Row],[Structure Line]]))</f>
        <v>Governance for Planning</v>
      </c>
      <c r="E73" s="31">
        <f>TableOSCUPLGEO[[#This Row],[Credit Points]]</f>
        <v>25</v>
      </c>
      <c r="F73">
        <v>2</v>
      </c>
      <c r="G73" t="s">
        <v>347</v>
      </c>
      <c r="H73">
        <v>1</v>
      </c>
      <c r="I73" t="s">
        <v>348</v>
      </c>
      <c r="J73" t="s">
        <v>172</v>
      </c>
      <c r="K73" s="41">
        <v>1</v>
      </c>
      <c r="L73" s="41" t="s">
        <v>399</v>
      </c>
      <c r="M73" s="41">
        <v>25</v>
      </c>
      <c r="N73" s="65">
        <v>42979</v>
      </c>
      <c r="O73" s="65"/>
      <c r="Q73" t="s">
        <v>172</v>
      </c>
      <c r="R73">
        <v>1</v>
      </c>
    </row>
    <row r="74" spans="1:18" x14ac:dyDescent="0.25">
      <c r="A74" t="str">
        <f>TableOSCUPLGEO[[#This Row],[Study Package Code]]</f>
        <v>PHGY3001</v>
      </c>
      <c r="B74" s="2">
        <f>TableOSCUPLGEO[[#This Row],[Ver]]</f>
        <v>3</v>
      </c>
      <c r="C74" t="str">
        <f>LEFT(TableOSCUPLGEO[[#This Row],[Structure Line]],6)</f>
        <v>GPH311</v>
      </c>
      <c r="D74" t="str">
        <f>MID(TableOSCUPLGEO[[#This Row],[Structure Line]],8,LEN(TableOSCUPLGEO[[#This Row],[Structure Line]]))</f>
        <v>Cultural Landscapes</v>
      </c>
      <c r="E74" s="31">
        <f>TableOSCUPLGEO[[#This Row],[Credit Points]]</f>
        <v>25</v>
      </c>
      <c r="F74">
        <v>3</v>
      </c>
      <c r="G74" t="s">
        <v>347</v>
      </c>
      <c r="H74">
        <v>3</v>
      </c>
      <c r="I74" t="s">
        <v>348</v>
      </c>
      <c r="J74" t="s">
        <v>180</v>
      </c>
      <c r="K74" s="41">
        <v>3</v>
      </c>
      <c r="L74" s="41" t="s">
        <v>400</v>
      </c>
      <c r="M74" s="41">
        <v>25</v>
      </c>
      <c r="N74" s="65">
        <v>44562</v>
      </c>
      <c r="O74" s="65"/>
      <c r="Q74" t="s">
        <v>180</v>
      </c>
      <c r="R74">
        <v>3</v>
      </c>
    </row>
    <row r="75" spans="1:18" x14ac:dyDescent="0.25">
      <c r="A75" t="str">
        <f>TableOSCUPLGEO[[#This Row],[Study Package Code]]</f>
        <v>AC-PLGEO</v>
      </c>
      <c r="B75" s="2">
        <f>TableOSCUPLGEO[[#This Row],[Ver]]</f>
        <v>0</v>
      </c>
      <c r="D75" t="str">
        <f>TableOSCUPLGEO[[#This Row],[Structure Line]]</f>
        <v>Choose WORK3002 or GEOG3002</v>
      </c>
      <c r="E75" s="31">
        <f>TableOSCUPLGEO[[#This Row],[Credit Points]]</f>
        <v>25</v>
      </c>
      <c r="F75">
        <v>4</v>
      </c>
      <c r="G75" t="s">
        <v>370</v>
      </c>
      <c r="H75">
        <v>3</v>
      </c>
      <c r="I75" t="s">
        <v>348</v>
      </c>
      <c r="J75" t="s">
        <v>186</v>
      </c>
      <c r="K75" s="41">
        <v>0</v>
      </c>
      <c r="L75" s="41" t="s">
        <v>401</v>
      </c>
      <c r="M75" s="41">
        <v>25</v>
      </c>
      <c r="N75" s="65"/>
      <c r="O75" s="65"/>
      <c r="Q75" t="s">
        <v>186</v>
      </c>
      <c r="R75">
        <v>0</v>
      </c>
    </row>
    <row r="76" spans="1:18" x14ac:dyDescent="0.25">
      <c r="A76" t="str">
        <f>TableOSCUPLGEO[[#This Row],[Study Package Code]]</f>
        <v>GEOG3002</v>
      </c>
      <c r="B76" s="2">
        <f>TableOSCUPLGEO[[#This Row],[Ver]]</f>
        <v>2</v>
      </c>
      <c r="C76" t="str">
        <f>LEFT(TableOSCUPLGEO[[#This Row],[Structure Line]],6)</f>
        <v>GPH320</v>
      </c>
      <c r="D76" t="str">
        <f>MID(TableOSCUPLGEO[[#This Row],[Structure Line]],8,LEN(TableOSCUPLGEO[[#This Row],[Structure Line]]))</f>
        <v>Urban Geographies</v>
      </c>
      <c r="E76" s="31">
        <f>TableOSCUPLGEO[[#This Row],[Credit Points]]</f>
        <v>25</v>
      </c>
      <c r="F76">
        <v>4</v>
      </c>
      <c r="G76" t="s">
        <v>370</v>
      </c>
      <c r="H76">
        <v>3</v>
      </c>
      <c r="I76" t="s">
        <v>348</v>
      </c>
      <c r="J76" t="s">
        <v>190</v>
      </c>
      <c r="K76" s="41">
        <v>2</v>
      </c>
      <c r="L76" s="41" t="s">
        <v>402</v>
      </c>
      <c r="M76" s="41">
        <v>25</v>
      </c>
      <c r="N76" s="65">
        <v>44562</v>
      </c>
      <c r="O76" s="65"/>
      <c r="Q76" t="s">
        <v>190</v>
      </c>
      <c r="R76">
        <v>2</v>
      </c>
    </row>
    <row r="77" spans="1:18" x14ac:dyDescent="0.25">
      <c r="A77" t="str">
        <f>TableOSCUPLGEO[[#This Row],[Study Package Code]]</f>
        <v>WORK3002</v>
      </c>
      <c r="B77" s="2">
        <f>TableOSCUPLGEO[[#This Row],[Ver]]</f>
        <v>1</v>
      </c>
      <c r="C77" t="str">
        <f>LEFT(TableOSCUPLGEO[[#This Row],[Structure Line]],6)</f>
        <v>WBP300</v>
      </c>
      <c r="D77" t="str">
        <f>MID(TableOSCUPLGEO[[#This Row],[Structure Line]],8,LEN(TableOSCUPLGEO[[#This Row],[Structure Line]]))</f>
        <v>Work Based Project</v>
      </c>
      <c r="E77" s="31">
        <f>TableOSCUPLGEO[[#This Row],[Credit Points]]</f>
        <v>25</v>
      </c>
      <c r="F77">
        <v>4</v>
      </c>
      <c r="G77" t="s">
        <v>370</v>
      </c>
      <c r="H77">
        <v>3</v>
      </c>
      <c r="I77" t="s">
        <v>348</v>
      </c>
      <c r="J77" t="s">
        <v>192</v>
      </c>
      <c r="K77" s="41">
        <v>1</v>
      </c>
      <c r="L77" s="41" t="s">
        <v>386</v>
      </c>
      <c r="M77" s="41">
        <v>25</v>
      </c>
      <c r="N77" s="65">
        <v>44287</v>
      </c>
      <c r="O77" s="65"/>
      <c r="Q77" t="s">
        <v>192</v>
      </c>
      <c r="R77">
        <v>1</v>
      </c>
    </row>
  </sheetData>
  <conditionalFormatting sqref="J3:J29">
    <cfRule type="duplicateValues" dxfId="18" priority="16"/>
  </conditionalFormatting>
  <conditionalFormatting sqref="J32:J38">
    <cfRule type="duplicateValues" dxfId="17" priority="13"/>
  </conditionalFormatting>
  <conditionalFormatting sqref="J41:J47">
    <cfRule type="duplicateValues" dxfId="16" priority="10"/>
  </conditionalFormatting>
  <conditionalFormatting sqref="J50:J55">
    <cfRule type="duplicateValues" dxfId="15" priority="7"/>
  </conditionalFormatting>
  <conditionalFormatting sqref="J58:J69">
    <cfRule type="duplicateValues" dxfId="14" priority="4"/>
  </conditionalFormatting>
  <conditionalFormatting sqref="J72:J77">
    <cfRule type="duplicateValues" dxfId="13" priority="1"/>
  </conditionalFormatting>
  <conditionalFormatting sqref="N3:N29">
    <cfRule type="cellIs" dxfId="12" priority="22" operator="greaterThan">
      <formula>$P$1</formula>
    </cfRule>
  </conditionalFormatting>
  <conditionalFormatting sqref="N32:N38">
    <cfRule type="cellIs" dxfId="11" priority="14" operator="greaterThan">
      <formula>$P$1</formula>
    </cfRule>
  </conditionalFormatting>
  <conditionalFormatting sqref="N41:N47">
    <cfRule type="cellIs" dxfId="10" priority="11" operator="greaterThan">
      <formula>$P$1</formula>
    </cfRule>
  </conditionalFormatting>
  <conditionalFormatting sqref="N50:N55">
    <cfRule type="cellIs" dxfId="9" priority="8" operator="greaterThan">
      <formula>$P$1</formula>
    </cfRule>
  </conditionalFormatting>
  <conditionalFormatting sqref="N58:N69">
    <cfRule type="cellIs" dxfId="8" priority="5" operator="greaterThan">
      <formula>$P$1</formula>
    </cfRule>
  </conditionalFormatting>
  <conditionalFormatting sqref="N72:N77">
    <cfRule type="cellIs" dxfId="7" priority="2" operator="greaterThan">
      <formula>$P$1</formula>
    </cfRule>
  </conditionalFormatting>
  <conditionalFormatting sqref="O3:O29">
    <cfRule type="notContainsBlanks" dxfId="6" priority="31">
      <formula>LEN(TRIM(O3))&gt;0</formula>
    </cfRule>
  </conditionalFormatting>
  <conditionalFormatting sqref="O32:O38">
    <cfRule type="notContainsBlanks" dxfId="5" priority="15">
      <formula>LEN(TRIM(O32))&gt;0</formula>
    </cfRule>
  </conditionalFormatting>
  <conditionalFormatting sqref="O41:O47">
    <cfRule type="notContainsBlanks" dxfId="4" priority="12">
      <formula>LEN(TRIM(O41))&gt;0</formula>
    </cfRule>
  </conditionalFormatting>
  <conditionalFormatting sqref="O50:O55">
    <cfRule type="notContainsBlanks" dxfId="3" priority="9">
      <formula>LEN(TRIM(O50))&gt;0</formula>
    </cfRule>
  </conditionalFormatting>
  <conditionalFormatting sqref="O58:O69">
    <cfRule type="notContainsBlanks" dxfId="2" priority="6">
      <formula>LEN(TRIM(O58))&gt;0</formula>
    </cfRule>
  </conditionalFormatting>
  <conditionalFormatting sqref="O72:O77">
    <cfRule type="notContainsBlanks" dxfId="1" priority="3">
      <formula>LEN(TRIM(O72))&gt;0</formula>
    </cfRule>
  </conditionalFormatting>
  <conditionalFormatting sqref="Q3:R29 Q32:R38 Q41:R47 Q50:R55 Q58:R69 Q72:R77">
    <cfRule type="expression" dxfId="0" priority="38">
      <formula>Q3&lt;&gt;J3</formula>
    </cfRule>
  </conditionalFormatting>
  <pageMargins left="0.7" right="0.7" top="0.75" bottom="0.75" header="0.3" footer="0.3"/>
  <pageSetup paperSize="9" orientation="portrait" r:id="rId1"/>
  <tableParts count="12">
    <tablePart r:id="rId2"/>
    <tablePart r:id="rId3"/>
    <tablePart r:id="rId4"/>
    <tablePart r:id="rId5"/>
    <tablePart r:id="rId6"/>
    <tablePart r:id="rId7"/>
    <tablePart r:id="rId8"/>
    <tablePart r:id="rId9"/>
    <tablePart r:id="rId10"/>
    <tablePart r:id="rId11"/>
    <tablePart r:id="rId12"/>
    <tablePart r:id="rId1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7"/>
  <sheetViews>
    <sheetView topLeftCell="A18" workbookViewId="0">
      <selection activeCell="A2" sqref="A2"/>
    </sheetView>
  </sheetViews>
  <sheetFormatPr defaultRowHeight="15.75" x14ac:dyDescent="0.25"/>
  <cols>
    <col min="1" max="1" width="12.375" bestFit="1" customWidth="1"/>
    <col min="2" max="5" width="5.375" bestFit="1" customWidth="1"/>
    <col min="6" max="6" width="31.25" bestFit="1" customWidth="1"/>
    <col min="7" max="7" width="10.375" bestFit="1" customWidth="1"/>
    <col min="8" max="8" width="10.125" bestFit="1" customWidth="1"/>
    <col min="9" max="12" width="1.875" bestFit="1" customWidth="1"/>
    <col min="13" max="13" width="22.25" bestFit="1" customWidth="1"/>
  </cols>
  <sheetData>
    <row r="1" spans="1:12" x14ac:dyDescent="0.25">
      <c r="F1" s="67" t="s">
        <v>335</v>
      </c>
      <c r="G1" s="68">
        <v>45666</v>
      </c>
    </row>
    <row r="2" spans="1:12" ht="76.5" x14ac:dyDescent="0.25">
      <c r="A2" t="s">
        <v>403</v>
      </c>
      <c r="B2" s="59" t="s">
        <v>404</v>
      </c>
      <c r="C2" s="59" t="s">
        <v>405</v>
      </c>
      <c r="D2" s="59" t="s">
        <v>406</v>
      </c>
      <c r="E2" s="59" t="s">
        <v>407</v>
      </c>
    </row>
    <row r="3" spans="1:12" x14ac:dyDescent="0.25">
      <c r="A3" t="s">
        <v>77</v>
      </c>
      <c r="B3" s="2"/>
      <c r="C3" s="2">
        <v>1</v>
      </c>
      <c r="D3" s="2"/>
      <c r="E3" s="2">
        <v>1</v>
      </c>
      <c r="H3" t="s">
        <v>77</v>
      </c>
      <c r="I3" s="2"/>
      <c r="J3" s="2">
        <v>1</v>
      </c>
      <c r="K3" s="2"/>
      <c r="L3" s="2">
        <v>1</v>
      </c>
    </row>
    <row r="4" spans="1:12" x14ac:dyDescent="0.25">
      <c r="A4" t="s">
        <v>61</v>
      </c>
      <c r="B4" s="2">
        <v>1</v>
      </c>
      <c r="C4" s="2"/>
      <c r="D4" s="2">
        <v>1</v>
      </c>
      <c r="E4" s="2"/>
      <c r="H4" t="s">
        <v>61</v>
      </c>
      <c r="I4" s="2">
        <v>1</v>
      </c>
      <c r="J4" s="2"/>
      <c r="K4" s="2">
        <v>1</v>
      </c>
      <c r="L4" s="2"/>
    </row>
    <row r="5" spans="1:12" x14ac:dyDescent="0.25">
      <c r="A5" t="s">
        <v>78</v>
      </c>
      <c r="B5" s="2">
        <v>1</v>
      </c>
      <c r="C5" s="2"/>
      <c r="D5" s="2">
        <v>1</v>
      </c>
      <c r="E5" s="2"/>
      <c r="H5" t="s">
        <v>78</v>
      </c>
      <c r="I5" s="2">
        <v>1</v>
      </c>
      <c r="J5" s="2"/>
      <c r="K5" s="2">
        <v>1</v>
      </c>
      <c r="L5" s="2"/>
    </row>
    <row r="6" spans="1:12" x14ac:dyDescent="0.25">
      <c r="A6" t="s">
        <v>79</v>
      </c>
      <c r="B6" s="2"/>
      <c r="C6" s="2">
        <v>1</v>
      </c>
      <c r="D6" s="2"/>
      <c r="E6" s="2">
        <v>1</v>
      </c>
      <c r="H6" t="s">
        <v>79</v>
      </c>
      <c r="I6" s="2"/>
      <c r="J6" s="2">
        <v>1</v>
      </c>
      <c r="K6" s="2"/>
      <c r="L6" s="2">
        <v>1</v>
      </c>
    </row>
    <row r="7" spans="1:12" x14ac:dyDescent="0.25">
      <c r="A7" t="s">
        <v>62</v>
      </c>
      <c r="B7" s="2"/>
      <c r="C7" s="2">
        <v>1</v>
      </c>
      <c r="D7" s="2"/>
      <c r="E7" s="2">
        <v>1</v>
      </c>
      <c r="H7" t="s">
        <v>62</v>
      </c>
      <c r="I7" s="2"/>
      <c r="J7" s="2">
        <v>1</v>
      </c>
      <c r="K7" s="2"/>
      <c r="L7" s="2">
        <v>1</v>
      </c>
    </row>
    <row r="8" spans="1:12" x14ac:dyDescent="0.25">
      <c r="A8" t="s">
        <v>76</v>
      </c>
      <c r="B8" s="2">
        <v>1</v>
      </c>
      <c r="C8" s="2"/>
      <c r="D8" s="2">
        <v>1</v>
      </c>
      <c r="E8" s="2"/>
      <c r="H8" t="s">
        <v>76</v>
      </c>
      <c r="I8" s="2">
        <v>1</v>
      </c>
      <c r="J8" s="2"/>
      <c r="K8" s="2">
        <v>1</v>
      </c>
      <c r="L8" s="2"/>
    </row>
    <row r="9" spans="1:12" x14ac:dyDescent="0.25">
      <c r="A9" t="s">
        <v>57</v>
      </c>
      <c r="B9" s="2"/>
      <c r="C9" s="2">
        <v>1</v>
      </c>
      <c r="D9" s="2"/>
      <c r="E9" s="2">
        <v>1</v>
      </c>
      <c r="H9" t="s">
        <v>57</v>
      </c>
      <c r="I9" s="2"/>
      <c r="J9" s="2">
        <v>1</v>
      </c>
      <c r="K9" s="2"/>
      <c r="L9" s="2">
        <v>1</v>
      </c>
    </row>
    <row r="10" spans="1:12" x14ac:dyDescent="0.25">
      <c r="A10" t="s">
        <v>99</v>
      </c>
      <c r="B10" s="2"/>
      <c r="C10" s="2">
        <v>1</v>
      </c>
      <c r="D10" s="2"/>
      <c r="E10" s="2">
        <v>1</v>
      </c>
      <c r="H10" t="s">
        <v>99</v>
      </c>
      <c r="I10" s="2"/>
      <c r="J10" s="2">
        <v>1</v>
      </c>
      <c r="K10" s="2"/>
      <c r="L10" s="2">
        <v>1</v>
      </c>
    </row>
    <row r="11" spans="1:12" x14ac:dyDescent="0.25">
      <c r="A11" t="s">
        <v>89</v>
      </c>
      <c r="B11" s="2"/>
      <c r="C11" s="2">
        <v>1</v>
      </c>
      <c r="D11" s="2"/>
      <c r="E11" s="2">
        <v>1</v>
      </c>
      <c r="H11" t="s">
        <v>89</v>
      </c>
      <c r="I11" s="2"/>
      <c r="J11" s="2">
        <v>1</v>
      </c>
      <c r="K11" s="2"/>
      <c r="L11" s="2">
        <v>1</v>
      </c>
    </row>
    <row r="12" spans="1:12" x14ac:dyDescent="0.25">
      <c r="A12" t="s">
        <v>87</v>
      </c>
      <c r="B12" s="2">
        <v>1</v>
      </c>
      <c r="C12" s="2"/>
      <c r="D12" s="2">
        <v>1</v>
      </c>
      <c r="E12" s="2"/>
      <c r="H12" t="s">
        <v>87</v>
      </c>
      <c r="I12" s="2">
        <v>1</v>
      </c>
      <c r="J12" s="2"/>
      <c r="K12" s="2">
        <v>1</v>
      </c>
      <c r="L12" s="2"/>
    </row>
    <row r="13" spans="1:12" x14ac:dyDescent="0.25">
      <c r="A13" t="s">
        <v>93</v>
      </c>
      <c r="B13" s="2">
        <v>1</v>
      </c>
      <c r="C13" s="2"/>
      <c r="D13" s="2">
        <v>1</v>
      </c>
      <c r="E13" s="2"/>
      <c r="H13" t="s">
        <v>93</v>
      </c>
      <c r="I13" s="2">
        <v>1</v>
      </c>
      <c r="J13" s="2"/>
      <c r="K13" s="2">
        <v>1</v>
      </c>
      <c r="L13" s="2"/>
    </row>
    <row r="14" spans="1:12" x14ac:dyDescent="0.25">
      <c r="A14" t="s">
        <v>98</v>
      </c>
      <c r="B14" s="2">
        <v>1</v>
      </c>
      <c r="C14" s="2"/>
      <c r="D14" s="2">
        <v>1</v>
      </c>
      <c r="E14" s="2"/>
      <c r="H14" t="s">
        <v>98</v>
      </c>
      <c r="I14" s="2">
        <v>1</v>
      </c>
      <c r="J14" s="2"/>
      <c r="K14" s="2">
        <v>1</v>
      </c>
      <c r="L14" s="2"/>
    </row>
    <row r="15" spans="1:12" x14ac:dyDescent="0.25">
      <c r="A15" t="s">
        <v>95</v>
      </c>
      <c r="B15" s="2"/>
      <c r="C15" s="2">
        <v>1</v>
      </c>
      <c r="D15" s="2"/>
      <c r="E15" s="2">
        <v>1</v>
      </c>
      <c r="H15" t="s">
        <v>95</v>
      </c>
      <c r="I15" s="2"/>
      <c r="J15" s="2">
        <v>1</v>
      </c>
      <c r="K15" s="2"/>
      <c r="L15" s="2">
        <v>1</v>
      </c>
    </row>
    <row r="16" spans="1:12" x14ac:dyDescent="0.25">
      <c r="A16" t="s">
        <v>118</v>
      </c>
      <c r="B16" s="2"/>
      <c r="C16" s="2">
        <v>1</v>
      </c>
      <c r="D16" s="2"/>
      <c r="E16" s="2">
        <v>1</v>
      </c>
      <c r="H16" t="s">
        <v>118</v>
      </c>
      <c r="I16" s="2"/>
      <c r="J16" s="2">
        <v>1</v>
      </c>
      <c r="K16" s="2"/>
      <c r="L16" s="2">
        <v>1</v>
      </c>
    </row>
    <row r="17" spans="1:13" x14ac:dyDescent="0.25">
      <c r="A17" t="s">
        <v>114</v>
      </c>
      <c r="B17" s="2">
        <v>1</v>
      </c>
      <c r="C17" s="2"/>
      <c r="D17" s="2">
        <v>1</v>
      </c>
      <c r="E17" s="2"/>
      <c r="H17" t="s">
        <v>114</v>
      </c>
      <c r="I17" s="2">
        <v>1</v>
      </c>
      <c r="J17" s="2"/>
      <c r="K17" s="2">
        <v>1</v>
      </c>
      <c r="L17" s="2"/>
    </row>
    <row r="18" spans="1:13" x14ac:dyDescent="0.25">
      <c r="A18" t="s">
        <v>111</v>
      </c>
      <c r="B18" s="2"/>
      <c r="C18" s="2">
        <v>1</v>
      </c>
      <c r="D18" s="2"/>
      <c r="E18" s="2">
        <v>1</v>
      </c>
      <c r="H18" t="s">
        <v>109</v>
      </c>
      <c r="I18" s="2">
        <v>1</v>
      </c>
      <c r="J18" s="2"/>
      <c r="K18" s="2">
        <v>1</v>
      </c>
      <c r="L18" s="2"/>
    </row>
    <row r="19" spans="1:13" x14ac:dyDescent="0.25">
      <c r="A19" t="s">
        <v>126</v>
      </c>
      <c r="B19" s="2">
        <v>1</v>
      </c>
      <c r="C19" s="2"/>
      <c r="D19" s="2">
        <v>1</v>
      </c>
      <c r="E19" s="2"/>
      <c r="H19" s="97" t="s">
        <v>154</v>
      </c>
      <c r="I19" s="98">
        <v>1</v>
      </c>
      <c r="J19" s="98"/>
      <c r="K19" s="98">
        <v>1</v>
      </c>
      <c r="L19" s="98"/>
      <c r="M19" t="s">
        <v>408</v>
      </c>
    </row>
    <row r="20" spans="1:13" x14ac:dyDescent="0.25">
      <c r="A20" t="s">
        <v>109</v>
      </c>
      <c r="B20" s="2">
        <v>1</v>
      </c>
      <c r="C20" s="2"/>
      <c r="D20" s="2">
        <v>1</v>
      </c>
      <c r="E20" s="2"/>
      <c r="H20" s="97" t="s">
        <v>160</v>
      </c>
      <c r="I20" s="98">
        <v>1</v>
      </c>
      <c r="J20" s="99"/>
      <c r="K20" s="98">
        <v>1</v>
      </c>
      <c r="L20" s="98"/>
      <c r="M20" t="s">
        <v>409</v>
      </c>
    </row>
    <row r="21" spans="1:13" x14ac:dyDescent="0.25">
      <c r="A21" t="s">
        <v>154</v>
      </c>
      <c r="B21" s="2">
        <v>1</v>
      </c>
      <c r="C21" s="2"/>
      <c r="D21" s="2">
        <v>1</v>
      </c>
      <c r="E21" s="2"/>
      <c r="H21" s="97" t="s">
        <v>163</v>
      </c>
      <c r="I21" s="98"/>
      <c r="J21" s="98">
        <v>1</v>
      </c>
      <c r="K21" s="98"/>
      <c r="L21" s="98">
        <v>1</v>
      </c>
      <c r="M21" t="s">
        <v>408</v>
      </c>
    </row>
    <row r="22" spans="1:13" x14ac:dyDescent="0.25">
      <c r="A22" t="s">
        <v>160</v>
      </c>
      <c r="B22" s="2">
        <v>1</v>
      </c>
      <c r="C22" s="2"/>
      <c r="D22" s="2">
        <v>1</v>
      </c>
      <c r="E22" s="2"/>
      <c r="H22" s="45" t="s">
        <v>152</v>
      </c>
      <c r="I22" s="94">
        <v>1</v>
      </c>
      <c r="J22" s="100"/>
      <c r="K22" s="94">
        <v>1</v>
      </c>
      <c r="L22" s="100"/>
      <c r="M22" t="s">
        <v>410</v>
      </c>
    </row>
    <row r="23" spans="1:13" x14ac:dyDescent="0.25">
      <c r="A23" t="s">
        <v>163</v>
      </c>
      <c r="B23" s="2"/>
      <c r="C23" s="2">
        <v>1</v>
      </c>
      <c r="D23" s="2"/>
      <c r="E23" s="2">
        <v>1</v>
      </c>
      <c r="H23" s="97" t="s">
        <v>146</v>
      </c>
      <c r="I23" s="98">
        <v>1</v>
      </c>
      <c r="J23" s="98"/>
      <c r="K23" s="98">
        <v>1</v>
      </c>
      <c r="L23" s="98"/>
      <c r="M23" t="s">
        <v>408</v>
      </c>
    </row>
    <row r="24" spans="1:13" x14ac:dyDescent="0.25">
      <c r="A24" t="s">
        <v>152</v>
      </c>
      <c r="B24" s="2">
        <v>1</v>
      </c>
      <c r="C24" s="2"/>
      <c r="D24" s="2">
        <v>1</v>
      </c>
      <c r="E24" s="2"/>
      <c r="F24" s="93"/>
      <c r="H24" s="45" t="s">
        <v>159</v>
      </c>
      <c r="I24" s="94"/>
      <c r="J24" s="94">
        <v>1</v>
      </c>
      <c r="K24" s="94"/>
      <c r="L24" s="94">
        <v>1</v>
      </c>
      <c r="M24" t="s">
        <v>411</v>
      </c>
    </row>
    <row r="25" spans="1:13" x14ac:dyDescent="0.25">
      <c r="A25" t="s">
        <v>146</v>
      </c>
      <c r="B25" s="2">
        <v>1</v>
      </c>
      <c r="C25" s="2"/>
      <c r="D25" s="2">
        <v>1</v>
      </c>
      <c r="E25" s="2"/>
      <c r="H25" s="97" t="s">
        <v>153</v>
      </c>
      <c r="I25" s="98"/>
      <c r="J25" s="98">
        <v>1</v>
      </c>
      <c r="K25" s="98"/>
      <c r="L25" s="98">
        <v>1</v>
      </c>
      <c r="M25" t="s">
        <v>408</v>
      </c>
    </row>
    <row r="26" spans="1:13" x14ac:dyDescent="0.25">
      <c r="A26" t="s">
        <v>159</v>
      </c>
      <c r="B26" s="2"/>
      <c r="C26" s="2">
        <v>2</v>
      </c>
      <c r="D26" s="2"/>
      <c r="E26" s="2">
        <v>2</v>
      </c>
      <c r="H26" s="97" t="s">
        <v>158</v>
      </c>
      <c r="I26" s="98">
        <v>1</v>
      </c>
      <c r="J26" s="98"/>
      <c r="K26" s="98">
        <v>1</v>
      </c>
      <c r="L26" s="98"/>
      <c r="M26" t="s">
        <v>408</v>
      </c>
    </row>
    <row r="27" spans="1:13" x14ac:dyDescent="0.25">
      <c r="A27" t="s">
        <v>153</v>
      </c>
      <c r="B27" s="2"/>
      <c r="C27" s="2">
        <v>1</v>
      </c>
      <c r="D27" s="2"/>
      <c r="E27" s="2">
        <v>1</v>
      </c>
      <c r="H27" s="97" t="s">
        <v>148</v>
      </c>
      <c r="I27" s="98"/>
      <c r="J27" s="98">
        <v>1</v>
      </c>
      <c r="K27" s="98"/>
      <c r="L27" s="98">
        <v>1</v>
      </c>
      <c r="M27" t="s">
        <v>408</v>
      </c>
    </row>
    <row r="28" spans="1:13" x14ac:dyDescent="0.25">
      <c r="A28" t="s">
        <v>158</v>
      </c>
      <c r="B28" s="2">
        <v>1</v>
      </c>
      <c r="C28" s="2"/>
      <c r="D28" s="2">
        <v>1</v>
      </c>
      <c r="E28" s="2"/>
      <c r="H28" t="s">
        <v>55</v>
      </c>
      <c r="I28" s="2">
        <v>1</v>
      </c>
      <c r="J28" s="2">
        <v>1</v>
      </c>
      <c r="K28" s="2">
        <v>1</v>
      </c>
      <c r="L28" s="2">
        <v>1</v>
      </c>
    </row>
    <row r="29" spans="1:13" x14ac:dyDescent="0.25">
      <c r="A29" t="s">
        <v>148</v>
      </c>
      <c r="B29" s="2"/>
      <c r="C29" s="2">
        <v>1</v>
      </c>
      <c r="D29" s="2"/>
      <c r="E29" s="2">
        <v>1</v>
      </c>
      <c r="H29" t="s">
        <v>190</v>
      </c>
      <c r="I29" s="2">
        <v>1</v>
      </c>
      <c r="J29" s="2"/>
      <c r="K29" s="2">
        <v>1</v>
      </c>
      <c r="L29" s="2"/>
    </row>
    <row r="30" spans="1:13" x14ac:dyDescent="0.25">
      <c r="A30" t="s">
        <v>55</v>
      </c>
      <c r="B30" s="2">
        <v>1</v>
      </c>
      <c r="C30" s="2">
        <v>1</v>
      </c>
      <c r="D30" s="2">
        <v>1</v>
      </c>
      <c r="E30" s="2">
        <v>1</v>
      </c>
      <c r="H30" t="s">
        <v>170</v>
      </c>
      <c r="I30" s="2"/>
      <c r="J30" s="2">
        <v>1</v>
      </c>
      <c r="K30" s="2"/>
      <c r="L30" s="2">
        <v>1</v>
      </c>
    </row>
    <row r="31" spans="1:13" x14ac:dyDescent="0.25">
      <c r="A31" t="s">
        <v>190</v>
      </c>
      <c r="B31" s="2">
        <v>1</v>
      </c>
      <c r="C31" s="2"/>
      <c r="D31" s="2"/>
      <c r="E31" s="2"/>
      <c r="H31" t="s">
        <v>174</v>
      </c>
      <c r="I31" s="2">
        <v>1</v>
      </c>
      <c r="J31" s="2"/>
      <c r="K31" s="2">
        <v>1</v>
      </c>
      <c r="L31" s="2"/>
    </row>
    <row r="32" spans="1:13" x14ac:dyDescent="0.25">
      <c r="A32" t="s">
        <v>170</v>
      </c>
      <c r="B32" s="2"/>
      <c r="C32" s="2">
        <v>1</v>
      </c>
      <c r="D32" s="2"/>
      <c r="E32" s="2">
        <v>1</v>
      </c>
      <c r="H32" t="s">
        <v>178</v>
      </c>
      <c r="I32" s="2"/>
      <c r="J32" s="2">
        <v>1</v>
      </c>
      <c r="K32" s="2"/>
      <c r="L32" s="2">
        <v>1</v>
      </c>
    </row>
    <row r="33" spans="1:13" x14ac:dyDescent="0.25">
      <c r="A33" t="s">
        <v>174</v>
      </c>
      <c r="B33" s="2">
        <v>1</v>
      </c>
      <c r="C33" s="2"/>
      <c r="D33" s="2">
        <v>1</v>
      </c>
      <c r="E33" s="2"/>
      <c r="H33" t="s">
        <v>188</v>
      </c>
      <c r="I33" s="2">
        <v>1</v>
      </c>
      <c r="J33" s="2"/>
      <c r="K33" s="2">
        <v>1</v>
      </c>
      <c r="L33" s="2"/>
    </row>
    <row r="34" spans="1:13" x14ac:dyDescent="0.25">
      <c r="A34" t="s">
        <v>178</v>
      </c>
      <c r="B34" s="2"/>
      <c r="C34" s="2">
        <v>1</v>
      </c>
      <c r="D34" s="2"/>
      <c r="E34" s="2">
        <v>1</v>
      </c>
      <c r="H34" t="s">
        <v>171</v>
      </c>
      <c r="I34" s="2">
        <v>1</v>
      </c>
      <c r="J34" s="2"/>
      <c r="K34" s="2">
        <v>1</v>
      </c>
      <c r="L34" s="2"/>
    </row>
    <row r="35" spans="1:13" x14ac:dyDescent="0.25">
      <c r="A35" t="s">
        <v>188</v>
      </c>
      <c r="B35" s="2">
        <v>1</v>
      </c>
      <c r="C35" s="2"/>
      <c r="D35" s="2">
        <v>1</v>
      </c>
      <c r="E35" s="2"/>
      <c r="H35" t="s">
        <v>175</v>
      </c>
      <c r="I35" s="2">
        <v>1</v>
      </c>
      <c r="J35" s="2"/>
      <c r="K35" s="2">
        <v>1</v>
      </c>
      <c r="L35" s="2"/>
    </row>
    <row r="36" spans="1:13" x14ac:dyDescent="0.25">
      <c r="A36" t="s">
        <v>171</v>
      </c>
      <c r="B36" s="2">
        <v>1</v>
      </c>
      <c r="C36" s="2"/>
      <c r="D36" s="2"/>
      <c r="E36" s="2"/>
      <c r="H36" t="s">
        <v>196</v>
      </c>
      <c r="I36" s="2">
        <v>1</v>
      </c>
      <c r="J36" s="2"/>
      <c r="K36" s="2">
        <v>1</v>
      </c>
      <c r="L36" s="2"/>
    </row>
    <row r="37" spans="1:13" x14ac:dyDescent="0.25">
      <c r="A37" t="s">
        <v>175</v>
      </c>
      <c r="B37" s="2"/>
      <c r="C37" s="2"/>
      <c r="D37" s="2">
        <v>1</v>
      </c>
      <c r="E37" s="2"/>
      <c r="H37" t="s">
        <v>185</v>
      </c>
      <c r="I37" s="2"/>
      <c r="J37" s="2">
        <v>1</v>
      </c>
      <c r="K37" s="2"/>
      <c r="L37" s="2">
        <v>1</v>
      </c>
    </row>
    <row r="38" spans="1:13" x14ac:dyDescent="0.25">
      <c r="A38" t="s">
        <v>196</v>
      </c>
      <c r="B38" s="2"/>
      <c r="C38" s="2"/>
      <c r="D38" s="2">
        <v>1</v>
      </c>
      <c r="E38" s="2"/>
      <c r="H38" t="s">
        <v>198</v>
      </c>
      <c r="I38" s="2"/>
      <c r="J38" s="2">
        <v>1</v>
      </c>
      <c r="K38" s="2"/>
      <c r="L38" s="2">
        <v>1</v>
      </c>
    </row>
    <row r="39" spans="1:13" x14ac:dyDescent="0.25">
      <c r="A39" t="s">
        <v>185</v>
      </c>
      <c r="B39" s="2"/>
      <c r="C39" s="2">
        <v>1</v>
      </c>
      <c r="D39" s="2"/>
      <c r="E39" s="2"/>
      <c r="H39" t="s">
        <v>180</v>
      </c>
      <c r="I39" s="2"/>
      <c r="J39" s="2"/>
      <c r="K39" s="2">
        <v>1</v>
      </c>
      <c r="L39" s="2"/>
    </row>
    <row r="40" spans="1:13" x14ac:dyDescent="0.25">
      <c r="A40" t="s">
        <v>198</v>
      </c>
      <c r="B40" s="2"/>
      <c r="C40" s="2"/>
      <c r="D40" s="2">
        <v>1</v>
      </c>
      <c r="E40" s="2"/>
      <c r="H40" t="s">
        <v>172</v>
      </c>
      <c r="I40" s="2">
        <v>1</v>
      </c>
      <c r="J40" s="2"/>
      <c r="K40" s="2">
        <v>1</v>
      </c>
      <c r="L40" s="2"/>
    </row>
    <row r="41" spans="1:13" x14ac:dyDescent="0.25">
      <c r="A41" t="s">
        <v>189</v>
      </c>
      <c r="B41" s="2">
        <v>1</v>
      </c>
      <c r="C41" s="2"/>
      <c r="D41" s="2"/>
      <c r="E41" s="2"/>
      <c r="H41" t="s">
        <v>176</v>
      </c>
      <c r="I41" s="2"/>
      <c r="J41" s="2">
        <v>1</v>
      </c>
      <c r="K41" s="2"/>
      <c r="L41" s="2">
        <v>1</v>
      </c>
    </row>
    <row r="42" spans="1:13" x14ac:dyDescent="0.25">
      <c r="A42" t="s">
        <v>180</v>
      </c>
      <c r="B42" s="2"/>
      <c r="C42" s="2"/>
      <c r="D42" s="2">
        <v>1</v>
      </c>
      <c r="E42" s="2"/>
      <c r="H42" t="s">
        <v>200</v>
      </c>
      <c r="I42" s="2"/>
      <c r="J42" s="2"/>
      <c r="K42" s="2"/>
      <c r="L42" s="2"/>
    </row>
    <row r="43" spans="1:13" x14ac:dyDescent="0.25">
      <c r="A43" t="s">
        <v>172</v>
      </c>
      <c r="B43" s="2">
        <v>1</v>
      </c>
      <c r="C43" s="2"/>
      <c r="D43" s="2">
        <v>1</v>
      </c>
      <c r="E43" s="2"/>
      <c r="H43" t="s">
        <v>326</v>
      </c>
      <c r="I43" s="2"/>
      <c r="J43" s="2"/>
      <c r="K43" s="2"/>
      <c r="L43" s="2"/>
    </row>
    <row r="44" spans="1:13" x14ac:dyDescent="0.25">
      <c r="A44" t="s">
        <v>176</v>
      </c>
      <c r="B44" s="2"/>
      <c r="C44" s="2">
        <v>1</v>
      </c>
      <c r="D44" s="2"/>
      <c r="E44" s="2">
        <v>1</v>
      </c>
      <c r="H44" s="45" t="s">
        <v>111</v>
      </c>
      <c r="I44" s="94"/>
      <c r="J44" s="94">
        <v>1</v>
      </c>
      <c r="K44" s="94"/>
      <c r="L44" s="94">
        <v>1</v>
      </c>
      <c r="M44" t="s">
        <v>412</v>
      </c>
    </row>
    <row r="45" spans="1:13" x14ac:dyDescent="0.25">
      <c r="A45" t="s">
        <v>129</v>
      </c>
      <c r="B45" s="2"/>
      <c r="C45" s="2">
        <v>1</v>
      </c>
      <c r="D45" s="2"/>
      <c r="E45" s="2">
        <v>1</v>
      </c>
      <c r="H45" s="45" t="s">
        <v>126</v>
      </c>
      <c r="I45" s="94">
        <v>1</v>
      </c>
      <c r="J45" s="94"/>
      <c r="K45" s="94">
        <v>1</v>
      </c>
      <c r="L45" s="94"/>
      <c r="M45" t="s">
        <v>412</v>
      </c>
    </row>
    <row r="46" spans="1:13" x14ac:dyDescent="0.25">
      <c r="A46" s="45" t="s">
        <v>431</v>
      </c>
      <c r="B46" s="94"/>
      <c r="C46" s="94">
        <v>1</v>
      </c>
      <c r="D46" s="94"/>
      <c r="E46" s="94">
        <v>1</v>
      </c>
      <c r="H46" s="45" t="s">
        <v>129</v>
      </c>
      <c r="I46" s="94"/>
      <c r="J46" s="94">
        <v>1</v>
      </c>
      <c r="K46" s="94"/>
      <c r="L46" s="94">
        <v>1</v>
      </c>
      <c r="M46" t="s">
        <v>412</v>
      </c>
    </row>
    <row r="47" spans="1:13" x14ac:dyDescent="0.25">
      <c r="A47" s="45" t="s">
        <v>433</v>
      </c>
      <c r="B47" s="94"/>
      <c r="C47" s="94"/>
      <c r="D47" s="94"/>
      <c r="E47" s="94"/>
      <c r="F47" s="45" t="s">
        <v>435</v>
      </c>
      <c r="H47" s="45" t="s">
        <v>189</v>
      </c>
      <c r="I47" s="94">
        <v>1</v>
      </c>
      <c r="J47" s="94"/>
      <c r="K47" s="94"/>
      <c r="L47" s="94"/>
      <c r="M47" t="s">
        <v>412</v>
      </c>
    </row>
  </sheetData>
  <phoneticPr fontId="63"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58b0421-3d9b-4d43-8840-b275eef407cc"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a69df13-0c3c-4942-8695-6ca01564010c" xsi:nil="true"/>
    <SharedWithUsers xmlns="ba69df13-0c3c-4942-8695-6ca01564010c">
      <UserInfo>
        <DisplayName/>
        <AccountId xsi:nil="true"/>
        <AccountType/>
      </UserInfo>
    </SharedWithUsers>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19" ma:contentTypeDescription="Create a new document." ma:contentTypeScope="" ma:versionID="b595d71ab02bcde828d7308146f62891">
  <xsd:schema xmlns:xsd="http://www.w3.org/2001/XMLSchema" xmlns:xs="http://www.w3.org/2001/XMLSchema" xmlns:p="http://schemas.microsoft.com/office/2006/metadata/properties" xmlns:ns3="1f4c0b20-2c14-4291-851e-36bd297de4e2" xmlns:ns4="ba69df13-0c3c-4942-8695-6ca01564010c" xmlns:ns5="http://schemas.microsoft.com/sharepoint/v4" targetNamespace="http://schemas.microsoft.com/office/2006/metadata/properties" ma:root="true" ma:fieldsID="e9bf827fc3b7a01fa6910562b926237c" ns3:_="" ns4:_="" ns5: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3:MediaServiceAutoKeyPoints" minOccurs="0"/>
                <xsd:element ref="ns3:MediaServiceKeyPoints" minOccurs="0"/>
                <xsd:element ref="ns4:SharedWithUsers" minOccurs="0"/>
                <xsd:element ref="ns4:SharedWithDetails" minOccurs="0"/>
                <xsd:element ref="ns3:MediaLengthInSeconds" minOccurs="0"/>
                <xsd:element ref="ns3:MediaServiceDateTaken"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Location" minOccurs="0"/>
                <xsd:element ref="ns3:MediaServiceSearchProperties" minOccurs="0"/>
                <xsd:element ref="ns5:IconOverlay" minOccurs="0"/>
                <xsd:element ref="ns3:MediaServiceObjectDetectorVersion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9" nillable="true" ma:displayName="MediaServiceAutoKeyPoints" ma:hidden="true" ma:internalName="MediaServiceAutoKeyPoints" ma:readOnly="true">
      <xsd:simpleType>
        <xsd:restriction base="dms:Note"/>
      </xsd:simpleType>
    </xsd:element>
    <xsd:element name="MediaServiceKeyPoints" ma:index="10" nillable="true" ma:displayName="KeyPoints" ma:internalName="MediaServiceKeyPoints" ma:readOnly="true">
      <xsd:simpleType>
        <xsd:restriction base="dms:Note">
          <xsd:maxLength value="255"/>
        </xsd:restriction>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3"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6B207D-7EF4-4D79-B26C-CD0225F413B5}">
  <ds:schemaRefs>
    <ds:schemaRef ds:uri="Microsoft.SharePoint.Taxonomy.ContentTypeSync"/>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702FBB4C-6ADF-4262-9F1C-6F0710538C55}">
  <ds:schemaRefs>
    <ds:schemaRef ds:uri="http://purl.org/dc/terms/"/>
    <ds:schemaRef ds:uri="http://schemas.openxmlformats.org/package/2006/metadata/core-properties"/>
    <ds:schemaRef ds:uri="http://www.w3.org/XML/1998/namespace"/>
    <ds:schemaRef ds:uri="http://schemas.microsoft.com/office/2006/metadata/properties"/>
    <ds:schemaRef ds:uri="http://schemas.microsoft.com/sharepoint/v4"/>
    <ds:schemaRef ds:uri="http://schemas.microsoft.com/office/infopath/2007/PartnerControls"/>
    <ds:schemaRef ds:uri="http://schemas.microsoft.com/office/2006/documentManagement/types"/>
    <ds:schemaRef ds:uri="http://purl.org/dc/dcmitype/"/>
    <ds:schemaRef ds:uri="ba69df13-0c3c-4942-8695-6ca01564010c"/>
    <ds:schemaRef ds:uri="1f4c0b20-2c14-4291-851e-36bd297de4e2"/>
    <ds:schemaRef ds:uri="http://purl.org/dc/elements/1.1/"/>
  </ds:schemaRefs>
</ds:datastoreItem>
</file>

<file path=customXml/itemProps4.xml><?xml version="1.0" encoding="utf-8"?>
<ds:datastoreItem xmlns:ds="http://schemas.openxmlformats.org/officeDocument/2006/customXml" ds:itemID="{678A5499-0F12-49C2-87DC-8A13BD507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Construction Management Planner</vt:lpstr>
      <vt:lpstr>Unitsets</vt:lpstr>
      <vt:lpstr>Handbook</vt:lpstr>
      <vt:lpstr>Structures</vt:lpstr>
      <vt:lpstr>Availabilities</vt:lpstr>
      <vt:lpstr>'Construction Management Planner'!Print_Area</vt:lpstr>
      <vt:lpstr>RangeSpecSets</vt:lpstr>
      <vt:lpstr>RangeUnitsets</vt:lpstr>
      <vt:lpstr>RangeUnitSetsY4</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2025-02-20T02:47:45Z</cp:lastPrinted>
  <dcterms:created xsi:type="dcterms:W3CDTF">2022-02-28T04:48:12Z</dcterms:created>
  <dcterms:modified xsi:type="dcterms:W3CDTF">2025-02-20T02:49:23Z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