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64011"/>
  <mc:AlternateContent xmlns:mc="http://schemas.openxmlformats.org/markup-compatibility/2006">
    <mc:Choice Requires="x15">
      <x15ac:absPath xmlns:x15ac="http://schemas.microsoft.com/office/spreadsheetml/2010/11/ac" url="C:\Users\259378F\Downloads\"/>
    </mc:Choice>
  </mc:AlternateContent>
  <workbookProtection workbookAlgorithmName="SHA-512" workbookHashValue="QFRMgO8ovrb4+z4J5Wf4nvDoLcWU2LSw/XDeAmDMlvzB0R238FcGmIEhdypTsqxKRwprFA1p4gyza6FVoljlfg==" workbookSaltValue="ixB4i9pKyhE4UK7cJMr03A==" workbookSpinCount="100000" lockStructure="1"/>
  <bookViews>
    <workbookView xWindow="0" yWindow="0" windowWidth="28800" windowHeight="13500" firstSheet="1" activeTab="1"/>
  </bookViews>
  <sheets>
    <sheet name="Interior Architecture" sheetId="5" state="hidden" r:id="rId1"/>
    <sheet name="Interior Design" sheetId="10" r:id="rId2"/>
    <sheet name="Unitsets" sheetId="2" state="hidden" r:id="rId3"/>
    <sheet name="Handbook" sheetId="3" state="hidden" r:id="rId4"/>
    <sheet name="Structures" sheetId="8" state="hidden" r:id="rId5"/>
    <sheet name="Availabilities" sheetId="9" state="hidden" r:id="rId6"/>
  </sheets>
  <definedNames>
    <definedName name="_xlnm._FilterDatabase" localSheetId="3" hidden="1">Handbook!$A$2:$I$2</definedName>
    <definedName name="_xlnm.Print_Area" localSheetId="0">'Interior Architecture'!$A$3:$L$63</definedName>
    <definedName name="_xlnm.Print_Area" localSheetId="1">'Interior Design'!$A$3:$L$54</definedName>
    <definedName name="RangeSpecSets">Unitsets!$J$40:$S$49</definedName>
    <definedName name="RangeUnitsets">Unitsets!$J$3:$BE$35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3" l="1"/>
  <c r="H9" i="3"/>
  <c r="I9" i="3"/>
  <c r="J9" i="3"/>
  <c r="L5" i="5" l="1"/>
  <c r="L6" i="5"/>
  <c r="A47" i="5" s="1"/>
  <c r="L5" i="10"/>
  <c r="L6" i="10"/>
  <c r="BA35" i="2"/>
  <c r="BC35" i="2" s="1"/>
  <c r="BE35" i="2" s="1"/>
  <c r="BA34" i="2"/>
  <c r="BC34" i="2" s="1"/>
  <c r="BE34" i="2" s="1"/>
  <c r="BA33" i="2"/>
  <c r="BC33" i="2" s="1"/>
  <c r="BE33" i="2" s="1"/>
  <c r="BA32" i="2"/>
  <c r="BC32" i="2" s="1"/>
  <c r="BE32" i="2" s="1"/>
  <c r="BA31" i="2"/>
  <c r="BC31" i="2" s="1"/>
  <c r="BE31" i="2" s="1"/>
  <c r="BA30" i="2"/>
  <c r="BC30" i="2" s="1"/>
  <c r="BE30" i="2" s="1"/>
  <c r="BA29" i="2"/>
  <c r="BC29" i="2" s="1"/>
  <c r="BE29" i="2" s="1"/>
  <c r="BA28" i="2"/>
  <c r="BC28" i="2" s="1"/>
  <c r="BE28" i="2" s="1"/>
  <c r="BA27" i="2"/>
  <c r="BC27" i="2" s="1"/>
  <c r="BE27" i="2" s="1"/>
  <c r="BA26" i="2"/>
  <c r="BC26" i="2" s="1"/>
  <c r="BE26" i="2" s="1"/>
  <c r="BA25" i="2"/>
  <c r="BC25" i="2" s="1"/>
  <c r="BE25" i="2" s="1"/>
  <c r="BA24" i="2"/>
  <c r="BC24" i="2" s="1"/>
  <c r="BE24" i="2" s="1"/>
  <c r="BA23" i="2"/>
  <c r="BC23" i="2" s="1"/>
  <c r="BE23" i="2" s="1"/>
  <c r="BA22" i="2"/>
  <c r="BC22" i="2" s="1"/>
  <c r="BE22" i="2" s="1"/>
  <c r="BA21" i="2"/>
  <c r="BC21" i="2" s="1"/>
  <c r="BE21" i="2" s="1"/>
  <c r="BA20" i="2"/>
  <c r="BC20" i="2" s="1"/>
  <c r="BE20" i="2" s="1"/>
  <c r="BE19" i="2"/>
  <c r="BC19" i="2"/>
  <c r="BA19" i="2"/>
  <c r="BE18" i="2"/>
  <c r="BC18" i="2"/>
  <c r="BA18" i="2"/>
  <c r="BE17" i="2"/>
  <c r="BC17" i="2"/>
  <c r="BA17" i="2"/>
  <c r="BE16" i="2"/>
  <c r="BC16" i="2"/>
  <c r="BA16" i="2"/>
  <c r="BE15" i="2"/>
  <c r="BC15" i="2"/>
  <c r="BA15" i="2"/>
  <c r="BE14" i="2"/>
  <c r="BC14" i="2"/>
  <c r="BA14" i="2"/>
  <c r="BE13" i="2"/>
  <c r="BC13" i="2"/>
  <c r="BA13" i="2"/>
  <c r="BE12" i="2"/>
  <c r="BC12" i="2"/>
  <c r="BA12" i="2"/>
  <c r="BE11" i="2"/>
  <c r="BC11" i="2"/>
  <c r="BE10" i="2"/>
  <c r="BC10" i="2"/>
  <c r="BE9" i="2"/>
  <c r="BC9" i="2"/>
  <c r="BE8" i="2"/>
  <c r="BC8" i="2"/>
  <c r="BE7" i="2"/>
  <c r="BC7" i="2"/>
  <c r="BE6" i="2"/>
  <c r="BC6" i="2"/>
  <c r="BE5" i="2"/>
  <c r="BC5" i="2"/>
  <c r="BE4" i="2"/>
  <c r="BC4" i="2"/>
  <c r="AS35" i="2"/>
  <c r="AU35" i="2" s="1"/>
  <c r="AW35" i="2" s="1"/>
  <c r="AS34" i="2"/>
  <c r="AU34" i="2" s="1"/>
  <c r="AW34" i="2" s="1"/>
  <c r="AS33" i="2"/>
  <c r="AU33" i="2" s="1"/>
  <c r="AW33" i="2" s="1"/>
  <c r="AS32" i="2"/>
  <c r="AU32" i="2" s="1"/>
  <c r="AW32" i="2" s="1"/>
  <c r="AS31" i="2"/>
  <c r="AU31" i="2" s="1"/>
  <c r="AW31" i="2" s="1"/>
  <c r="AS30" i="2"/>
  <c r="AU30" i="2" s="1"/>
  <c r="AW30" i="2" s="1"/>
  <c r="AS29" i="2"/>
  <c r="AU29" i="2" s="1"/>
  <c r="AW29" i="2" s="1"/>
  <c r="AS28" i="2"/>
  <c r="AU28" i="2" s="1"/>
  <c r="AW28" i="2" s="1"/>
  <c r="AS27" i="2"/>
  <c r="AU27" i="2" s="1"/>
  <c r="AW27" i="2" s="1"/>
  <c r="AS26" i="2"/>
  <c r="AU26" i="2" s="1"/>
  <c r="AW26" i="2" s="1"/>
  <c r="AS25" i="2"/>
  <c r="AU25" i="2" s="1"/>
  <c r="AW25" i="2" s="1"/>
  <c r="AS24" i="2"/>
  <c r="AU24" i="2" s="1"/>
  <c r="AW24" i="2" s="1"/>
  <c r="AS23" i="2"/>
  <c r="AU23" i="2" s="1"/>
  <c r="AW23" i="2" s="1"/>
  <c r="AS22" i="2"/>
  <c r="AU22" i="2" s="1"/>
  <c r="AW22" i="2" s="1"/>
  <c r="AS21" i="2"/>
  <c r="AU21" i="2" s="1"/>
  <c r="AW21" i="2" s="1"/>
  <c r="AS20" i="2"/>
  <c r="AU20" i="2" s="1"/>
  <c r="AW20" i="2" s="1"/>
  <c r="AW19" i="2"/>
  <c r="AU19" i="2"/>
  <c r="AS19" i="2"/>
  <c r="AW18" i="2"/>
  <c r="AU18" i="2"/>
  <c r="AS18" i="2"/>
  <c r="AW17" i="2"/>
  <c r="AU17" i="2"/>
  <c r="AS17" i="2"/>
  <c r="AW16" i="2"/>
  <c r="AU16" i="2"/>
  <c r="AS16" i="2"/>
  <c r="AW15" i="2"/>
  <c r="AU15" i="2"/>
  <c r="AS15" i="2"/>
  <c r="AW14" i="2"/>
  <c r="AU14" i="2"/>
  <c r="AS14" i="2"/>
  <c r="AW13" i="2"/>
  <c r="AU13" i="2"/>
  <c r="AS13" i="2"/>
  <c r="AW12" i="2"/>
  <c r="AU12" i="2"/>
  <c r="AS12" i="2"/>
  <c r="AW11" i="2"/>
  <c r="AU11" i="2"/>
  <c r="AW10" i="2"/>
  <c r="AU10" i="2"/>
  <c r="AW9" i="2"/>
  <c r="AU9" i="2"/>
  <c r="AW8" i="2"/>
  <c r="AU8" i="2"/>
  <c r="AW7" i="2"/>
  <c r="AU7" i="2"/>
  <c r="AW6" i="2"/>
  <c r="AU6" i="2"/>
  <c r="AW5" i="2"/>
  <c r="AU5" i="2"/>
  <c r="AW4" i="2"/>
  <c r="AU4" i="2"/>
  <c r="AK35" i="2"/>
  <c r="AM35" i="2" s="1"/>
  <c r="AO35" i="2" s="1"/>
  <c r="AK34" i="2"/>
  <c r="AM34" i="2" s="1"/>
  <c r="AO34" i="2" s="1"/>
  <c r="AK33" i="2"/>
  <c r="AM33" i="2" s="1"/>
  <c r="AO33" i="2" s="1"/>
  <c r="AK32" i="2"/>
  <c r="AM32" i="2" s="1"/>
  <c r="AO32" i="2" s="1"/>
  <c r="AK31" i="2"/>
  <c r="AM31" i="2" s="1"/>
  <c r="AO31" i="2" s="1"/>
  <c r="AK30" i="2"/>
  <c r="AM30" i="2" s="1"/>
  <c r="AO30" i="2" s="1"/>
  <c r="AK29" i="2"/>
  <c r="AM29" i="2" s="1"/>
  <c r="AO29" i="2" s="1"/>
  <c r="AK28" i="2"/>
  <c r="AM28" i="2" s="1"/>
  <c r="AO28" i="2" s="1"/>
  <c r="AK27" i="2"/>
  <c r="AM27" i="2" s="1"/>
  <c r="AO27" i="2" s="1"/>
  <c r="AK26" i="2"/>
  <c r="AM26" i="2" s="1"/>
  <c r="AO26" i="2" s="1"/>
  <c r="AK25" i="2"/>
  <c r="AM25" i="2" s="1"/>
  <c r="AO25" i="2" s="1"/>
  <c r="AK24" i="2"/>
  <c r="AM24" i="2" s="1"/>
  <c r="AO24" i="2" s="1"/>
  <c r="AK23" i="2"/>
  <c r="AM23" i="2" s="1"/>
  <c r="AO23" i="2" s="1"/>
  <c r="AK22" i="2"/>
  <c r="AM22" i="2" s="1"/>
  <c r="AO22" i="2" s="1"/>
  <c r="AK21" i="2"/>
  <c r="AM21" i="2" s="1"/>
  <c r="AO21" i="2" s="1"/>
  <c r="AK20" i="2"/>
  <c r="AM20" i="2" s="1"/>
  <c r="AO20" i="2" s="1"/>
  <c r="AO19" i="2"/>
  <c r="AM19" i="2"/>
  <c r="AK19" i="2"/>
  <c r="AO18" i="2"/>
  <c r="AM18" i="2"/>
  <c r="AK18" i="2"/>
  <c r="AO17" i="2"/>
  <c r="AM17" i="2"/>
  <c r="AK17" i="2"/>
  <c r="AO16" i="2"/>
  <c r="AM16" i="2"/>
  <c r="AK16" i="2"/>
  <c r="AO15" i="2"/>
  <c r="AM15" i="2"/>
  <c r="AK15" i="2"/>
  <c r="AO14" i="2"/>
  <c r="AM14" i="2"/>
  <c r="AK14" i="2"/>
  <c r="AO13" i="2"/>
  <c r="AM13" i="2"/>
  <c r="AK13" i="2"/>
  <c r="AO12" i="2"/>
  <c r="AM12" i="2"/>
  <c r="AK12" i="2"/>
  <c r="AM11" i="2"/>
  <c r="AO11" i="2"/>
  <c r="AO10" i="2"/>
  <c r="AM10" i="2"/>
  <c r="AM9" i="2"/>
  <c r="AO9" i="2"/>
  <c r="AM8" i="2"/>
  <c r="AO8" i="2"/>
  <c r="AM7" i="2"/>
  <c r="AO7" i="2"/>
  <c r="AM6" i="2"/>
  <c r="AO6" i="2"/>
  <c r="AM5" i="2"/>
  <c r="AO5" i="2"/>
  <c r="AM4" i="2"/>
  <c r="AO4" i="2"/>
  <c r="AG11" i="2"/>
  <c r="AG10" i="2"/>
  <c r="AG9" i="2"/>
  <c r="AG8" i="2"/>
  <c r="AG7" i="2"/>
  <c r="AG6" i="2"/>
  <c r="AG5" i="2"/>
  <c r="AG4" i="2"/>
  <c r="AE11" i="2"/>
  <c r="AE10" i="2"/>
  <c r="AE9" i="2"/>
  <c r="AE8" i="2"/>
  <c r="AE7" i="2"/>
  <c r="AE6" i="2"/>
  <c r="AE5" i="2"/>
  <c r="AE4" i="2"/>
  <c r="Y11" i="2"/>
  <c r="Y10" i="2"/>
  <c r="Y9" i="2"/>
  <c r="Y8" i="2"/>
  <c r="Y7" i="2"/>
  <c r="Y6" i="2"/>
  <c r="Y5" i="2"/>
  <c r="Y4" i="2"/>
  <c r="W11" i="2"/>
  <c r="W10" i="2"/>
  <c r="W9" i="2"/>
  <c r="W8" i="2"/>
  <c r="W7" i="2"/>
  <c r="W6" i="2"/>
  <c r="W5" i="2"/>
  <c r="W4" i="2"/>
  <c r="AG19" i="2"/>
  <c r="AE19" i="2"/>
  <c r="AC19" i="2"/>
  <c r="AG18" i="2"/>
  <c r="AE18" i="2"/>
  <c r="AC18" i="2"/>
  <c r="AG17" i="2"/>
  <c r="AE17" i="2"/>
  <c r="AC17" i="2"/>
  <c r="AG16" i="2"/>
  <c r="AE16" i="2"/>
  <c r="AC16" i="2"/>
  <c r="AG15" i="2"/>
  <c r="AE15" i="2"/>
  <c r="AC15" i="2"/>
  <c r="AG14" i="2"/>
  <c r="AE14" i="2"/>
  <c r="AC14" i="2"/>
  <c r="AG13" i="2"/>
  <c r="AE13" i="2"/>
  <c r="AC13" i="2"/>
  <c r="AG12" i="2"/>
  <c r="AE12" i="2"/>
  <c r="AC12" i="2"/>
  <c r="Y35" i="2"/>
  <c r="Y34" i="2"/>
  <c r="Y33" i="2"/>
  <c r="Y32" i="2"/>
  <c r="Y31" i="2"/>
  <c r="Y30" i="2"/>
  <c r="Y29" i="2"/>
  <c r="Y28" i="2"/>
  <c r="Y27" i="2"/>
  <c r="Y26" i="2"/>
  <c r="Y25" i="2"/>
  <c r="Y24" i="2"/>
  <c r="Y23" i="2"/>
  <c r="Y22" i="2"/>
  <c r="Y21" i="2"/>
  <c r="Y20" i="2"/>
  <c r="Y19" i="2"/>
  <c r="Y18" i="2"/>
  <c r="Y17" i="2"/>
  <c r="Y16" i="2"/>
  <c r="Y15" i="2"/>
  <c r="Y14" i="2"/>
  <c r="Y13" i="2"/>
  <c r="Y12" i="2"/>
  <c r="W35" i="2"/>
  <c r="W34" i="2"/>
  <c r="W33" i="2"/>
  <c r="W32" i="2"/>
  <c r="W31" i="2"/>
  <c r="W30" i="2"/>
  <c r="W29" i="2"/>
  <c r="W28" i="2"/>
  <c r="W27" i="2"/>
  <c r="W26" i="2"/>
  <c r="W25" i="2"/>
  <c r="W24" i="2"/>
  <c r="W23" i="2"/>
  <c r="W22" i="2"/>
  <c r="W21" i="2"/>
  <c r="W20" i="2"/>
  <c r="W19" i="2"/>
  <c r="W18" i="2"/>
  <c r="W17" i="2"/>
  <c r="W16" i="2"/>
  <c r="W15" i="2"/>
  <c r="W14" i="2"/>
  <c r="W13" i="2"/>
  <c r="W12" i="2"/>
  <c r="U35" i="2"/>
  <c r="U34" i="2"/>
  <c r="U33" i="2"/>
  <c r="U32" i="2"/>
  <c r="U31" i="2"/>
  <c r="U30" i="2"/>
  <c r="U29" i="2"/>
  <c r="U28" i="2"/>
  <c r="U27" i="2"/>
  <c r="U26" i="2"/>
  <c r="U25" i="2"/>
  <c r="U24" i="2"/>
  <c r="U23" i="2"/>
  <c r="U22" i="2"/>
  <c r="U21" i="2"/>
  <c r="U20" i="2"/>
  <c r="U19" i="2"/>
  <c r="U18" i="2"/>
  <c r="U17" i="2"/>
  <c r="U16" i="2"/>
  <c r="U15" i="2"/>
  <c r="U14" i="2"/>
  <c r="U13" i="2"/>
  <c r="U12" i="2"/>
  <c r="AC35" i="2"/>
  <c r="AE35" i="2" s="1"/>
  <c r="AG35" i="2" s="1"/>
  <c r="AC34" i="2"/>
  <c r="AE34" i="2" s="1"/>
  <c r="AG34" i="2" s="1"/>
  <c r="AC33" i="2"/>
  <c r="AE33" i="2" s="1"/>
  <c r="AG33" i="2" s="1"/>
  <c r="AC32" i="2"/>
  <c r="AE32" i="2" s="1"/>
  <c r="AG32" i="2" s="1"/>
  <c r="AC31" i="2"/>
  <c r="AE31" i="2" s="1"/>
  <c r="AG31" i="2" s="1"/>
  <c r="AC30" i="2"/>
  <c r="AE30" i="2" s="1"/>
  <c r="AG30" i="2" s="1"/>
  <c r="AC29" i="2"/>
  <c r="AE29" i="2" s="1"/>
  <c r="AG29" i="2" s="1"/>
  <c r="AC28" i="2"/>
  <c r="AE28" i="2" s="1"/>
  <c r="AG28" i="2" s="1"/>
  <c r="AC27" i="2"/>
  <c r="AE27" i="2" s="1"/>
  <c r="AG27" i="2" s="1"/>
  <c r="AC26" i="2"/>
  <c r="AE26" i="2" s="1"/>
  <c r="AG26" i="2" s="1"/>
  <c r="AC25" i="2"/>
  <c r="AE25" i="2" s="1"/>
  <c r="AG25" i="2" s="1"/>
  <c r="AC24" i="2"/>
  <c r="AE24" i="2" s="1"/>
  <c r="AG24" i="2" s="1"/>
  <c r="AC23" i="2"/>
  <c r="AE23" i="2" s="1"/>
  <c r="AG23" i="2" s="1"/>
  <c r="AC22" i="2"/>
  <c r="AE22" i="2" s="1"/>
  <c r="AG22" i="2" s="1"/>
  <c r="AC21" i="2"/>
  <c r="AE21" i="2" s="1"/>
  <c r="AG21" i="2" s="1"/>
  <c r="AC20" i="2"/>
  <c r="AE20" i="2" s="1"/>
  <c r="AG20" i="2" s="1"/>
  <c r="J64" i="3"/>
  <c r="I64" i="3"/>
  <c r="H64" i="3"/>
  <c r="G64" i="3"/>
  <c r="J63" i="3"/>
  <c r="I63" i="3"/>
  <c r="H63" i="3"/>
  <c r="G63" i="3"/>
  <c r="J62" i="3"/>
  <c r="I62" i="3"/>
  <c r="H62" i="3"/>
  <c r="G62" i="3"/>
  <c r="J61" i="3"/>
  <c r="I61" i="3"/>
  <c r="H61" i="3"/>
  <c r="G61" i="3"/>
  <c r="J59" i="3"/>
  <c r="I59" i="3"/>
  <c r="H59" i="3"/>
  <c r="G59" i="3"/>
  <c r="J60" i="3"/>
  <c r="I60" i="3"/>
  <c r="H60" i="3"/>
  <c r="G60" i="3"/>
  <c r="J58" i="3"/>
  <c r="I58" i="3"/>
  <c r="H58" i="3"/>
  <c r="G58" i="3"/>
  <c r="J57" i="3"/>
  <c r="I57" i="3"/>
  <c r="H57" i="3"/>
  <c r="G57" i="3"/>
  <c r="J56" i="3"/>
  <c r="I56" i="3"/>
  <c r="H56" i="3"/>
  <c r="G56" i="3"/>
  <c r="J55" i="3"/>
  <c r="I55" i="3"/>
  <c r="H55" i="3"/>
  <c r="G55" i="3"/>
  <c r="J54" i="3"/>
  <c r="I54" i="3"/>
  <c r="H54" i="3"/>
  <c r="G54" i="3"/>
  <c r="J53" i="3"/>
  <c r="I53" i="3"/>
  <c r="H53" i="3"/>
  <c r="G53" i="3"/>
  <c r="J52" i="3"/>
  <c r="I52" i="3"/>
  <c r="H52" i="3"/>
  <c r="G52" i="3"/>
  <c r="J51" i="3"/>
  <c r="I51" i="3"/>
  <c r="H51" i="3"/>
  <c r="G51" i="3"/>
  <c r="J50" i="3"/>
  <c r="I50" i="3"/>
  <c r="H50" i="3"/>
  <c r="G50" i="3"/>
  <c r="J49" i="3"/>
  <c r="I49" i="3"/>
  <c r="H49" i="3"/>
  <c r="G49" i="3"/>
  <c r="J48" i="3"/>
  <c r="I48" i="3"/>
  <c r="H48" i="3"/>
  <c r="G48" i="3"/>
  <c r="J47" i="3"/>
  <c r="I47" i="3"/>
  <c r="H47" i="3"/>
  <c r="G47" i="3"/>
  <c r="J46" i="3"/>
  <c r="I46" i="3"/>
  <c r="H46" i="3"/>
  <c r="G46" i="3"/>
  <c r="J45" i="3"/>
  <c r="I45" i="3"/>
  <c r="H45" i="3"/>
  <c r="G45" i="3"/>
  <c r="J44" i="3"/>
  <c r="I44" i="3"/>
  <c r="H44" i="3"/>
  <c r="G44" i="3"/>
  <c r="J43" i="3"/>
  <c r="I43" i="3"/>
  <c r="H43" i="3"/>
  <c r="G43" i="3"/>
  <c r="J42" i="3"/>
  <c r="I42" i="3"/>
  <c r="H42" i="3"/>
  <c r="G42" i="3"/>
  <c r="J41" i="3"/>
  <c r="I41" i="3"/>
  <c r="H41" i="3"/>
  <c r="G41" i="3"/>
  <c r="J40" i="3"/>
  <c r="I40" i="3"/>
  <c r="H40" i="3"/>
  <c r="G40" i="3"/>
  <c r="J39" i="3"/>
  <c r="I39" i="3"/>
  <c r="H39" i="3"/>
  <c r="G39" i="3"/>
  <c r="J38" i="3"/>
  <c r="I38" i="3"/>
  <c r="H38" i="3"/>
  <c r="G38" i="3"/>
  <c r="J37" i="3"/>
  <c r="I37" i="3"/>
  <c r="H37" i="3"/>
  <c r="G37" i="3"/>
  <c r="J36" i="3"/>
  <c r="I36" i="3"/>
  <c r="H36" i="3"/>
  <c r="G36" i="3"/>
  <c r="J35" i="3"/>
  <c r="I35" i="3"/>
  <c r="H35" i="3"/>
  <c r="G35" i="3"/>
  <c r="J34" i="3"/>
  <c r="I34" i="3"/>
  <c r="H34" i="3"/>
  <c r="G34" i="3"/>
  <c r="J33" i="3"/>
  <c r="I33" i="3"/>
  <c r="H33" i="3"/>
  <c r="G33" i="3"/>
  <c r="J32" i="3"/>
  <c r="I32" i="3"/>
  <c r="H32" i="3"/>
  <c r="G32" i="3"/>
  <c r="J31" i="3"/>
  <c r="I31" i="3"/>
  <c r="H31" i="3"/>
  <c r="G31" i="3"/>
  <c r="J30" i="3"/>
  <c r="I30" i="3"/>
  <c r="H30" i="3"/>
  <c r="G30" i="3"/>
  <c r="J29" i="3"/>
  <c r="I29" i="3"/>
  <c r="H29" i="3"/>
  <c r="G29" i="3"/>
  <c r="J28" i="3"/>
  <c r="I28" i="3"/>
  <c r="H28" i="3"/>
  <c r="G28" i="3"/>
  <c r="J27" i="3"/>
  <c r="I27" i="3"/>
  <c r="H27" i="3"/>
  <c r="G27" i="3"/>
  <c r="J26" i="3"/>
  <c r="I26" i="3"/>
  <c r="H26" i="3"/>
  <c r="G26" i="3"/>
  <c r="J25" i="3"/>
  <c r="I25" i="3"/>
  <c r="H25" i="3"/>
  <c r="G25" i="3"/>
  <c r="J24" i="3"/>
  <c r="I24" i="3"/>
  <c r="H24" i="3"/>
  <c r="G24" i="3"/>
  <c r="J23" i="3"/>
  <c r="I23" i="3"/>
  <c r="H23" i="3"/>
  <c r="G23" i="3"/>
  <c r="J22" i="3"/>
  <c r="I22" i="3"/>
  <c r="H22" i="3"/>
  <c r="G22" i="3"/>
  <c r="J21" i="3"/>
  <c r="I21" i="3"/>
  <c r="H21" i="3"/>
  <c r="G21" i="3"/>
  <c r="J20" i="3"/>
  <c r="I20" i="3"/>
  <c r="H20" i="3"/>
  <c r="G20" i="3"/>
  <c r="J19" i="3"/>
  <c r="I19" i="3"/>
  <c r="H19" i="3"/>
  <c r="G19" i="3"/>
  <c r="J18" i="3"/>
  <c r="I18" i="3"/>
  <c r="H18" i="3"/>
  <c r="G18" i="3"/>
  <c r="J17" i="3"/>
  <c r="I17" i="3"/>
  <c r="H17" i="3"/>
  <c r="G17" i="3"/>
  <c r="J16" i="3"/>
  <c r="I16" i="3"/>
  <c r="H16" i="3"/>
  <c r="G16" i="3"/>
  <c r="J15" i="3"/>
  <c r="I15" i="3"/>
  <c r="H15" i="3"/>
  <c r="G15" i="3"/>
  <c r="J14" i="3"/>
  <c r="I14" i="3"/>
  <c r="H14" i="3"/>
  <c r="G14" i="3"/>
  <c r="J13" i="3"/>
  <c r="I13" i="3"/>
  <c r="H13" i="3"/>
  <c r="G13" i="3"/>
  <c r="J12" i="3"/>
  <c r="I12" i="3"/>
  <c r="H12" i="3"/>
  <c r="G12" i="3"/>
  <c r="J11" i="3"/>
  <c r="I11" i="3"/>
  <c r="H11" i="3"/>
  <c r="G11" i="3"/>
  <c r="J10" i="3"/>
  <c r="I10" i="3"/>
  <c r="H10" i="3"/>
  <c r="G10" i="3"/>
  <c r="J8" i="3"/>
  <c r="I8" i="3"/>
  <c r="H8" i="3"/>
  <c r="G8" i="3"/>
  <c r="J7" i="3"/>
  <c r="I7" i="3"/>
  <c r="H7" i="3"/>
  <c r="G7" i="3"/>
  <c r="J6" i="3"/>
  <c r="I6" i="3"/>
  <c r="H6" i="3"/>
  <c r="G6" i="3"/>
  <c r="J5" i="3"/>
  <c r="I5" i="3"/>
  <c r="H5" i="3"/>
  <c r="G5" i="3"/>
  <c r="A17" i="10" l="1"/>
  <c r="A40" i="5"/>
  <c r="A11" i="5"/>
  <c r="A23" i="5"/>
  <c r="A41" i="5"/>
  <c r="A13" i="5"/>
  <c r="A24" i="5"/>
  <c r="A33" i="5"/>
  <c r="A42" i="5"/>
  <c r="A31" i="5"/>
  <c r="A32" i="5"/>
  <c r="A14" i="5"/>
  <c r="A25" i="5"/>
  <c r="A34" i="5"/>
  <c r="A43" i="5"/>
  <c r="A22" i="5"/>
  <c r="A16" i="5"/>
  <c r="A26" i="5"/>
  <c r="A35" i="5"/>
  <c r="A44" i="5"/>
  <c r="A17" i="5"/>
  <c r="A27" i="5"/>
  <c r="A36" i="5"/>
  <c r="A45" i="5"/>
  <c r="A19" i="5"/>
  <c r="A28" i="5"/>
  <c r="A37" i="5"/>
  <c r="A46" i="5"/>
  <c r="A10" i="5"/>
  <c r="A20" i="5"/>
  <c r="A29" i="5"/>
  <c r="A38" i="5"/>
  <c r="A29" i="10"/>
  <c r="A38" i="10"/>
  <c r="A22" i="10"/>
  <c r="A31" i="10"/>
  <c r="A36" i="10"/>
  <c r="A32" i="10"/>
  <c r="A24" i="10"/>
  <c r="A33" i="10"/>
  <c r="A27" i="10"/>
  <c r="A28" i="10"/>
  <c r="A23" i="10"/>
  <c r="A25" i="10"/>
  <c r="A34" i="10"/>
  <c r="A37" i="10"/>
  <c r="A26" i="10"/>
  <c r="A35" i="10"/>
  <c r="A11" i="10"/>
  <c r="A13" i="10"/>
  <c r="A14" i="10"/>
  <c r="A19" i="10"/>
  <c r="A20" i="10"/>
  <c r="A16" i="10"/>
  <c r="A10" i="10"/>
  <c r="L40" i="10" l="1"/>
  <c r="A40" i="10"/>
  <c r="G7" i="10"/>
  <c r="G6" i="10"/>
  <c r="G5" i="10"/>
  <c r="A48" i="10" l="1"/>
  <c r="A47" i="10"/>
  <c r="A50" i="10"/>
  <c r="A44" i="10"/>
  <c r="A49" i="10"/>
  <c r="A43" i="10"/>
  <c r="A46" i="10"/>
  <c r="A42" i="10"/>
  <c r="A45" i="10"/>
  <c r="J47" i="10" l="1"/>
  <c r="I47" i="10"/>
  <c r="D47" i="10"/>
  <c r="C47" i="10"/>
  <c r="B47" i="10"/>
  <c r="H47" i="10"/>
  <c r="F47" i="10"/>
  <c r="G47" i="10"/>
  <c r="K47" i="10"/>
  <c r="K48" i="10"/>
  <c r="I48" i="10"/>
  <c r="H48" i="10"/>
  <c r="G48" i="10"/>
  <c r="F48" i="10"/>
  <c r="C48" i="10"/>
  <c r="J48" i="10"/>
  <c r="D48" i="10"/>
  <c r="B48" i="10"/>
  <c r="F46" i="10"/>
  <c r="D46" i="10"/>
  <c r="C46" i="10"/>
  <c r="K46" i="10"/>
  <c r="B46" i="10"/>
  <c r="J46" i="10"/>
  <c r="H46" i="10"/>
  <c r="G46" i="10"/>
  <c r="I46" i="10"/>
  <c r="C43" i="10"/>
  <c r="B43" i="10"/>
  <c r="K43" i="10"/>
  <c r="J43" i="10"/>
  <c r="I43" i="10"/>
  <c r="H43" i="10"/>
  <c r="F43" i="10"/>
  <c r="D43" i="10"/>
  <c r="G43" i="10"/>
  <c r="J44" i="10"/>
  <c r="I44" i="10"/>
  <c r="H44" i="10"/>
  <c r="G44" i="10"/>
  <c r="F44" i="10"/>
  <c r="C44" i="10"/>
  <c r="K44" i="10"/>
  <c r="B44" i="10"/>
  <c r="D44" i="10"/>
  <c r="H45" i="10"/>
  <c r="G45" i="10"/>
  <c r="F45" i="10"/>
  <c r="D45" i="10"/>
  <c r="C45" i="10"/>
  <c r="J45" i="10"/>
  <c r="I45" i="10"/>
  <c r="K45" i="10"/>
  <c r="B45" i="10"/>
  <c r="C49" i="10"/>
  <c r="K49" i="10"/>
  <c r="B49" i="10"/>
  <c r="J49" i="10"/>
  <c r="I49" i="10"/>
  <c r="H49" i="10"/>
  <c r="F49" i="10"/>
  <c r="D49" i="10"/>
  <c r="G49" i="10"/>
  <c r="J50" i="10"/>
  <c r="I50" i="10"/>
  <c r="H50" i="10"/>
  <c r="G50" i="10"/>
  <c r="F50" i="10"/>
  <c r="C50" i="10"/>
  <c r="K50" i="10"/>
  <c r="B50" i="10"/>
  <c r="D50" i="10"/>
  <c r="F42" i="10"/>
  <c r="D42" i="10"/>
  <c r="C42" i="10"/>
  <c r="K42" i="10"/>
  <c r="B42" i="10"/>
  <c r="J42" i="10"/>
  <c r="H42" i="10"/>
  <c r="G42" i="10"/>
  <c r="I42" i="10"/>
  <c r="E163" i="8" l="1"/>
  <c r="D163" i="8"/>
  <c r="B163" i="8"/>
  <c r="A163" i="8"/>
  <c r="E162" i="8"/>
  <c r="D162" i="8"/>
  <c r="B162" i="8"/>
  <c r="A162" i="8"/>
  <c r="E161" i="8"/>
  <c r="D161" i="8"/>
  <c r="B161" i="8"/>
  <c r="A161" i="8"/>
  <c r="E160" i="8"/>
  <c r="D160" i="8"/>
  <c r="B160" i="8"/>
  <c r="A160" i="8"/>
  <c r="E159" i="8"/>
  <c r="D159" i="8"/>
  <c r="B159" i="8"/>
  <c r="A159" i="8"/>
  <c r="E158" i="8"/>
  <c r="D158" i="8"/>
  <c r="B158" i="8"/>
  <c r="A158" i="8"/>
  <c r="E157" i="8"/>
  <c r="D157" i="8"/>
  <c r="C157" i="8"/>
  <c r="B157" i="8"/>
  <c r="A157" i="8"/>
  <c r="E156" i="8"/>
  <c r="D156" i="8"/>
  <c r="C156" i="8"/>
  <c r="B156" i="8"/>
  <c r="A156" i="8"/>
  <c r="E155" i="8"/>
  <c r="D155" i="8"/>
  <c r="C155" i="8"/>
  <c r="B155" i="8"/>
  <c r="A155" i="8"/>
  <c r="E154" i="8"/>
  <c r="D154" i="8"/>
  <c r="C154" i="8"/>
  <c r="B154" i="8"/>
  <c r="A154" i="8"/>
  <c r="E153" i="8"/>
  <c r="D153" i="8"/>
  <c r="C153" i="8"/>
  <c r="B153" i="8"/>
  <c r="A153" i="8"/>
  <c r="E152" i="8"/>
  <c r="D152" i="8"/>
  <c r="C152" i="8"/>
  <c r="B152" i="8"/>
  <c r="A152" i="8"/>
  <c r="E151" i="8"/>
  <c r="D151" i="8"/>
  <c r="C151" i="8"/>
  <c r="B151" i="8"/>
  <c r="A151" i="8"/>
  <c r="E150" i="8"/>
  <c r="D150" i="8"/>
  <c r="C150" i="8"/>
  <c r="B150" i="8"/>
  <c r="A150" i="8"/>
  <c r="E149" i="8"/>
  <c r="D149" i="8"/>
  <c r="C149" i="8"/>
  <c r="B149" i="8"/>
  <c r="A149" i="8"/>
  <c r="E148" i="8"/>
  <c r="D148" i="8"/>
  <c r="C148" i="8"/>
  <c r="B148" i="8"/>
  <c r="A148" i="8"/>
  <c r="E147" i="8"/>
  <c r="D147" i="8"/>
  <c r="C147" i="8"/>
  <c r="B147" i="8"/>
  <c r="A147" i="8"/>
  <c r="E146" i="8"/>
  <c r="D146" i="8"/>
  <c r="C146" i="8"/>
  <c r="B146" i="8"/>
  <c r="A146" i="8"/>
  <c r="E145" i="8"/>
  <c r="D145" i="8"/>
  <c r="C145" i="8"/>
  <c r="B145" i="8"/>
  <c r="A145" i="8"/>
  <c r="E144" i="8"/>
  <c r="D144" i="8"/>
  <c r="C144" i="8"/>
  <c r="B144" i="8"/>
  <c r="A144" i="8"/>
  <c r="E143" i="8"/>
  <c r="D143" i="8"/>
  <c r="C143" i="8"/>
  <c r="B143" i="8"/>
  <c r="A143" i="8"/>
  <c r="E142" i="8"/>
  <c r="D142" i="8"/>
  <c r="C142" i="8"/>
  <c r="B142" i="8"/>
  <c r="A142" i="8"/>
  <c r="E141" i="8"/>
  <c r="D141" i="8"/>
  <c r="C141" i="8"/>
  <c r="B141" i="8"/>
  <c r="A141" i="8"/>
  <c r="E140" i="8"/>
  <c r="D140" i="8"/>
  <c r="C140" i="8"/>
  <c r="B140" i="8"/>
  <c r="A140" i="8"/>
  <c r="E139" i="8"/>
  <c r="D139" i="8"/>
  <c r="C139" i="8"/>
  <c r="B139" i="8"/>
  <c r="A139" i="8"/>
  <c r="E138" i="8"/>
  <c r="D138" i="8"/>
  <c r="C138" i="8"/>
  <c r="B138" i="8"/>
  <c r="A138" i="8"/>
  <c r="D131" i="8"/>
  <c r="D132" i="8"/>
  <c r="D133" i="8"/>
  <c r="D134" i="8"/>
  <c r="D135" i="8"/>
  <c r="D130" i="8"/>
  <c r="O9" i="3" l="1"/>
  <c r="O59" i="3"/>
  <c r="O4" i="3"/>
  <c r="O5" i="3"/>
  <c r="O6" i="3"/>
  <c r="O7" i="3"/>
  <c r="O8"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60" i="3"/>
  <c r="O61" i="3"/>
  <c r="O62" i="3"/>
  <c r="O63" i="3"/>
  <c r="O64" i="3"/>
  <c r="E135" i="8"/>
  <c r="B135" i="8"/>
  <c r="A135" i="8"/>
  <c r="E134" i="8"/>
  <c r="B134" i="8"/>
  <c r="A134" i="8"/>
  <c r="E133" i="8"/>
  <c r="B133" i="8"/>
  <c r="A133" i="8"/>
  <c r="E132" i="8"/>
  <c r="B132" i="8"/>
  <c r="A132" i="8"/>
  <c r="E131" i="8"/>
  <c r="B131" i="8"/>
  <c r="A131" i="8"/>
  <c r="E130" i="8"/>
  <c r="B130" i="8"/>
  <c r="A130" i="8"/>
  <c r="E129" i="8"/>
  <c r="D129" i="8"/>
  <c r="C129" i="8"/>
  <c r="B129" i="8"/>
  <c r="A129" i="8"/>
  <c r="E128" i="8"/>
  <c r="D128" i="8"/>
  <c r="C128" i="8"/>
  <c r="B128" i="8"/>
  <c r="A128" i="8"/>
  <c r="E127" i="8"/>
  <c r="D127" i="8"/>
  <c r="C127" i="8"/>
  <c r="B127" i="8"/>
  <c r="A127" i="8"/>
  <c r="E126" i="8"/>
  <c r="D126" i="8"/>
  <c r="C126" i="8"/>
  <c r="B126" i="8"/>
  <c r="A126" i="8"/>
  <c r="E125" i="8"/>
  <c r="D125" i="8"/>
  <c r="C125" i="8"/>
  <c r="B125" i="8"/>
  <c r="A125" i="8"/>
  <c r="E124" i="8"/>
  <c r="D124" i="8"/>
  <c r="C124" i="8"/>
  <c r="B124" i="8"/>
  <c r="A124" i="8"/>
  <c r="E123" i="8"/>
  <c r="D123" i="8"/>
  <c r="C123" i="8"/>
  <c r="B123" i="8"/>
  <c r="A123" i="8"/>
  <c r="E122" i="8"/>
  <c r="D122" i="8"/>
  <c r="C122" i="8"/>
  <c r="B122" i="8"/>
  <c r="A122" i="8"/>
  <c r="E121" i="8"/>
  <c r="D121" i="8"/>
  <c r="C121" i="8"/>
  <c r="B121" i="8"/>
  <c r="A121" i="8"/>
  <c r="E120" i="8"/>
  <c r="D120" i="8"/>
  <c r="C120" i="8"/>
  <c r="B120" i="8"/>
  <c r="A120" i="8"/>
  <c r="E119" i="8"/>
  <c r="D119" i="8"/>
  <c r="C119" i="8"/>
  <c r="B119" i="8"/>
  <c r="A119" i="8"/>
  <c r="E118" i="8"/>
  <c r="D118" i="8"/>
  <c r="C118" i="8"/>
  <c r="B118" i="8"/>
  <c r="A118" i="8"/>
  <c r="E117" i="8"/>
  <c r="D117" i="8"/>
  <c r="C117" i="8"/>
  <c r="B117" i="8"/>
  <c r="A117" i="8"/>
  <c r="E116" i="8"/>
  <c r="D116" i="8"/>
  <c r="C116" i="8"/>
  <c r="B116" i="8"/>
  <c r="A116" i="8"/>
  <c r="E115" i="8"/>
  <c r="D115" i="8"/>
  <c r="C115" i="8"/>
  <c r="B115" i="8"/>
  <c r="A115" i="8"/>
  <c r="E114" i="8"/>
  <c r="D114" i="8"/>
  <c r="C114" i="8"/>
  <c r="B114" i="8"/>
  <c r="A114" i="8"/>
  <c r="E113" i="8"/>
  <c r="D113" i="8"/>
  <c r="C113" i="8"/>
  <c r="B113" i="8"/>
  <c r="A113" i="8"/>
  <c r="E112" i="8"/>
  <c r="D112" i="8"/>
  <c r="C112" i="8"/>
  <c r="B112" i="8"/>
  <c r="A112" i="8"/>
  <c r="E111" i="8"/>
  <c r="D111" i="8"/>
  <c r="C111" i="8"/>
  <c r="B111" i="8"/>
  <c r="A111" i="8"/>
  <c r="E110" i="8"/>
  <c r="D110" i="8"/>
  <c r="C110" i="8"/>
  <c r="B110" i="8"/>
  <c r="A110" i="8"/>
  <c r="N9" i="3" l="1"/>
  <c r="N59" i="3"/>
  <c r="N4" i="3"/>
  <c r="N13" i="3"/>
  <c r="N21" i="3"/>
  <c r="N29" i="3"/>
  <c r="N37" i="3"/>
  <c r="N45" i="3"/>
  <c r="N53" i="3"/>
  <c r="N62" i="3"/>
  <c r="N7" i="3"/>
  <c r="N16" i="3"/>
  <c r="N24" i="3"/>
  <c r="N32" i="3"/>
  <c r="N48" i="3"/>
  <c r="N56" i="3"/>
  <c r="N17" i="3"/>
  <c r="N41" i="3"/>
  <c r="N57" i="3"/>
  <c r="N5" i="3"/>
  <c r="N14" i="3"/>
  <c r="N22" i="3"/>
  <c r="N30" i="3"/>
  <c r="N38" i="3"/>
  <c r="N46" i="3"/>
  <c r="N54" i="3"/>
  <c r="N63" i="3"/>
  <c r="N8" i="3"/>
  <c r="N25" i="3"/>
  <c r="N33" i="3"/>
  <c r="N49" i="3"/>
  <c r="N28" i="3"/>
  <c r="N44" i="3"/>
  <c r="N61" i="3"/>
  <c r="N6" i="3"/>
  <c r="N15" i="3"/>
  <c r="N23" i="3"/>
  <c r="N31" i="3"/>
  <c r="N39" i="3"/>
  <c r="N47" i="3"/>
  <c r="N55" i="3"/>
  <c r="N64" i="3"/>
  <c r="N40" i="3"/>
  <c r="N12" i="3"/>
  <c r="N20" i="3"/>
  <c r="N36" i="3"/>
  <c r="N52" i="3"/>
  <c r="N10" i="3"/>
  <c r="N18" i="3"/>
  <c r="N26" i="3"/>
  <c r="N34" i="3"/>
  <c r="N42" i="3"/>
  <c r="N50" i="3"/>
  <c r="N58" i="3"/>
  <c r="N11" i="3"/>
  <c r="N19" i="3"/>
  <c r="N27" i="3"/>
  <c r="N35" i="3"/>
  <c r="N43" i="3"/>
  <c r="N51" i="3"/>
  <c r="N60" i="3"/>
  <c r="E106" i="8" l="1"/>
  <c r="D106" i="8"/>
  <c r="C106" i="8"/>
  <c r="B106" i="8"/>
  <c r="A106" i="8"/>
  <c r="E105" i="8"/>
  <c r="D105" i="8"/>
  <c r="C105" i="8"/>
  <c r="B105" i="8"/>
  <c r="A105" i="8"/>
  <c r="E104" i="8"/>
  <c r="D104" i="8"/>
  <c r="B104" i="8"/>
  <c r="A104" i="8"/>
  <c r="E103" i="8"/>
  <c r="D103" i="8"/>
  <c r="C103" i="8"/>
  <c r="B103" i="8"/>
  <c r="A103" i="8"/>
  <c r="E102" i="8"/>
  <c r="D102" i="8"/>
  <c r="C102" i="8"/>
  <c r="B102" i="8"/>
  <c r="A102" i="8"/>
  <c r="E101" i="8"/>
  <c r="D101" i="8"/>
  <c r="C101" i="8"/>
  <c r="B101" i="8"/>
  <c r="A101" i="8"/>
  <c r="A93" i="8"/>
  <c r="B93" i="8"/>
  <c r="C93" i="8"/>
  <c r="D93" i="8"/>
  <c r="E93" i="8"/>
  <c r="A94" i="8"/>
  <c r="B94" i="8"/>
  <c r="C94" i="8"/>
  <c r="D94" i="8"/>
  <c r="E94" i="8"/>
  <c r="A95" i="8"/>
  <c r="B95" i="8"/>
  <c r="C95" i="8"/>
  <c r="D95" i="8"/>
  <c r="E95" i="8"/>
  <c r="A96" i="8"/>
  <c r="B96" i="8"/>
  <c r="D96" i="8"/>
  <c r="E96" i="8"/>
  <c r="A97" i="8"/>
  <c r="B97" i="8"/>
  <c r="C97" i="8"/>
  <c r="D97" i="8"/>
  <c r="E97" i="8"/>
  <c r="A98" i="8"/>
  <c r="B98" i="8"/>
  <c r="C98" i="8"/>
  <c r="D98" i="8"/>
  <c r="E98" i="8"/>
  <c r="S9" i="3" l="1"/>
  <c r="S59" i="3"/>
  <c r="T9" i="3"/>
  <c r="T59" i="3"/>
  <c r="S35" i="3"/>
  <c r="S18" i="3"/>
  <c r="S46" i="3"/>
  <c r="S54" i="3"/>
  <c r="S33" i="3"/>
  <c r="S26" i="3"/>
  <c r="S25" i="3"/>
  <c r="S16" i="3"/>
  <c r="S48" i="3"/>
  <c r="S7" i="3"/>
  <c r="S14" i="3"/>
  <c r="S44" i="3"/>
  <c r="S20" i="3"/>
  <c r="S36" i="3"/>
  <c r="S40" i="3"/>
  <c r="S47" i="3"/>
  <c r="S55" i="3"/>
  <c r="S64" i="3"/>
  <c r="S34" i="3"/>
  <c r="S10" i="3"/>
  <c r="S4" i="3"/>
  <c r="S41" i="3"/>
  <c r="S56" i="3"/>
  <c r="S28" i="3"/>
  <c r="S15" i="3"/>
  <c r="S49" i="3"/>
  <c r="S29" i="3"/>
  <c r="S5" i="3"/>
  <c r="S57" i="3"/>
  <c r="S17" i="3"/>
  <c r="S24" i="3"/>
  <c r="S38" i="3"/>
  <c r="S45" i="3"/>
  <c r="S50" i="3"/>
  <c r="S27" i="3"/>
  <c r="S19" i="3"/>
  <c r="S62" i="3"/>
  <c r="S52" i="3"/>
  <c r="S11" i="3"/>
  <c r="S42" i="3"/>
  <c r="S30" i="3"/>
  <c r="S61" i="3"/>
  <c r="S37" i="3"/>
  <c r="S51" i="3"/>
  <c r="S23" i="3"/>
  <c r="S13" i="3"/>
  <c r="S39" i="3"/>
  <c r="S43" i="3"/>
  <c r="S60" i="3"/>
  <c r="S31" i="3"/>
  <c r="S21" i="3"/>
  <c r="S58" i="3"/>
  <c r="S32" i="3"/>
  <c r="S63" i="3"/>
  <c r="S53" i="3"/>
  <c r="S6" i="3"/>
  <c r="S22" i="3"/>
  <c r="S8" i="3"/>
  <c r="S12" i="3"/>
  <c r="T4" i="3"/>
  <c r="T5" i="3"/>
  <c r="T15" i="3"/>
  <c r="T44" i="3"/>
  <c r="T49" i="3"/>
  <c r="T57" i="3"/>
  <c r="T20" i="3"/>
  <c r="T29" i="3"/>
  <c r="T17" i="3"/>
  <c r="T37" i="3"/>
  <c r="T30" i="3"/>
  <c r="T61" i="3"/>
  <c r="T43" i="3"/>
  <c r="T31" i="3"/>
  <c r="T58" i="3"/>
  <c r="T24" i="3"/>
  <c r="T38" i="3"/>
  <c r="T45" i="3"/>
  <c r="T50" i="3"/>
  <c r="T27" i="3"/>
  <c r="T19" i="3"/>
  <c r="T62" i="3"/>
  <c r="T52" i="3"/>
  <c r="T42" i="3"/>
  <c r="T51" i="3"/>
  <c r="T23" i="3"/>
  <c r="T39" i="3"/>
  <c r="T21" i="3"/>
  <c r="T11" i="3"/>
  <c r="T13" i="3"/>
  <c r="T60" i="3"/>
  <c r="T12" i="3"/>
  <c r="T32" i="3"/>
  <c r="T63" i="3"/>
  <c r="T53" i="3"/>
  <c r="T6" i="3"/>
  <c r="T22" i="3"/>
  <c r="T8" i="3"/>
  <c r="T18" i="3"/>
  <c r="T54" i="3"/>
  <c r="T26" i="3"/>
  <c r="T35" i="3"/>
  <c r="T46" i="3"/>
  <c r="T33" i="3"/>
  <c r="T25" i="3"/>
  <c r="T36" i="3"/>
  <c r="T40" i="3"/>
  <c r="T47" i="3"/>
  <c r="T55" i="3"/>
  <c r="T64" i="3"/>
  <c r="T34" i="3"/>
  <c r="T10" i="3"/>
  <c r="T16" i="3"/>
  <c r="T41" i="3"/>
  <c r="T48" i="3"/>
  <c r="T56" i="3"/>
  <c r="T14" i="3"/>
  <c r="T7" i="3"/>
  <c r="T28" i="3"/>
  <c r="C87" i="8"/>
  <c r="D87" i="8"/>
  <c r="E90" i="8"/>
  <c r="D90" i="8"/>
  <c r="C90" i="8"/>
  <c r="B90" i="8"/>
  <c r="A90" i="8"/>
  <c r="E89" i="8"/>
  <c r="D89" i="8"/>
  <c r="C89" i="8"/>
  <c r="B89" i="8"/>
  <c r="A89" i="8"/>
  <c r="E88" i="8"/>
  <c r="D88" i="8"/>
  <c r="C88" i="8"/>
  <c r="B88" i="8"/>
  <c r="A88" i="8"/>
  <c r="E87" i="8"/>
  <c r="B87" i="8"/>
  <c r="A87" i="8"/>
  <c r="R9" i="3" l="1"/>
  <c r="R59" i="3"/>
  <c r="R11" i="3"/>
  <c r="R37" i="3"/>
  <c r="R42" i="3"/>
  <c r="R51" i="3"/>
  <c r="R30" i="3"/>
  <c r="R23" i="3"/>
  <c r="R61" i="3"/>
  <c r="R32" i="3"/>
  <c r="R53" i="3"/>
  <c r="R22" i="3"/>
  <c r="R35" i="3"/>
  <c r="R54" i="3"/>
  <c r="R25" i="3"/>
  <c r="R13" i="3"/>
  <c r="R39" i="3"/>
  <c r="R43" i="3"/>
  <c r="R60" i="3"/>
  <c r="R31" i="3"/>
  <c r="R21" i="3"/>
  <c r="R58" i="3"/>
  <c r="R12" i="3"/>
  <c r="R63" i="3"/>
  <c r="R6" i="3"/>
  <c r="R8" i="3"/>
  <c r="R18" i="3"/>
  <c r="R33" i="3"/>
  <c r="R46" i="3"/>
  <c r="R26" i="3"/>
  <c r="R36" i="3"/>
  <c r="R40" i="3"/>
  <c r="R47" i="3"/>
  <c r="R55" i="3"/>
  <c r="R64" i="3"/>
  <c r="R34" i="3"/>
  <c r="R10" i="3"/>
  <c r="R16" i="3"/>
  <c r="R48" i="3"/>
  <c r="R7" i="3"/>
  <c r="R14" i="3"/>
  <c r="R17" i="3"/>
  <c r="R4" i="3"/>
  <c r="R41" i="3"/>
  <c r="R56" i="3"/>
  <c r="R28" i="3"/>
  <c r="R5" i="3"/>
  <c r="R15" i="3"/>
  <c r="R44" i="3"/>
  <c r="R49" i="3"/>
  <c r="R57" i="3"/>
  <c r="R20" i="3"/>
  <c r="R29" i="3"/>
  <c r="R45" i="3"/>
  <c r="R50" i="3"/>
  <c r="R27" i="3"/>
  <c r="R19" i="3"/>
  <c r="R62" i="3"/>
  <c r="R24" i="3"/>
  <c r="R52" i="3"/>
  <c r="R38" i="3"/>
  <c r="D79" i="8"/>
  <c r="D80" i="8"/>
  <c r="D81" i="8"/>
  <c r="D82" i="8"/>
  <c r="D83" i="8"/>
  <c r="D84" i="8"/>
  <c r="C80" i="8"/>
  <c r="C81" i="8"/>
  <c r="C82" i="8"/>
  <c r="C83" i="8"/>
  <c r="C84" i="8"/>
  <c r="D71" i="8"/>
  <c r="D72" i="8"/>
  <c r="D73" i="8"/>
  <c r="D74" i="8"/>
  <c r="D75" i="8"/>
  <c r="D76" i="8"/>
  <c r="C72" i="8"/>
  <c r="C73" i="8"/>
  <c r="C75" i="8"/>
  <c r="C76" i="8"/>
  <c r="C71" i="8"/>
  <c r="E84" i="8" l="1"/>
  <c r="B84" i="8"/>
  <c r="A84" i="8"/>
  <c r="E83" i="8"/>
  <c r="B83" i="8"/>
  <c r="A83" i="8"/>
  <c r="E82" i="8"/>
  <c r="B82" i="8"/>
  <c r="A82" i="8"/>
  <c r="E81" i="8"/>
  <c r="B81" i="8"/>
  <c r="A81" i="8"/>
  <c r="E80" i="8"/>
  <c r="B80" i="8"/>
  <c r="A80" i="8"/>
  <c r="E79" i="8"/>
  <c r="B79" i="8"/>
  <c r="A79" i="8"/>
  <c r="E76" i="8"/>
  <c r="B76" i="8"/>
  <c r="A76" i="8"/>
  <c r="E75" i="8"/>
  <c r="B75" i="8"/>
  <c r="A75" i="8"/>
  <c r="E74" i="8"/>
  <c r="B74" i="8"/>
  <c r="A74" i="8"/>
  <c r="E73" i="8"/>
  <c r="B73" i="8"/>
  <c r="A73" i="8"/>
  <c r="E72" i="8"/>
  <c r="B72" i="8"/>
  <c r="A72" i="8"/>
  <c r="E71" i="8"/>
  <c r="B71" i="8"/>
  <c r="A71" i="8"/>
  <c r="P9" i="3" l="1"/>
  <c r="P59" i="3"/>
  <c r="Q9" i="3"/>
  <c r="Q59" i="3"/>
  <c r="P12" i="3"/>
  <c r="P32" i="3"/>
  <c r="P63" i="3"/>
  <c r="P53" i="3"/>
  <c r="P6" i="3"/>
  <c r="P22" i="3"/>
  <c r="P8" i="3"/>
  <c r="P36" i="3"/>
  <c r="P47" i="3"/>
  <c r="P64" i="3"/>
  <c r="P10" i="3"/>
  <c r="P35" i="3"/>
  <c r="P18" i="3"/>
  <c r="P46" i="3"/>
  <c r="P54" i="3"/>
  <c r="P33" i="3"/>
  <c r="P26" i="3"/>
  <c r="P25" i="3"/>
  <c r="P40" i="3"/>
  <c r="P55" i="3"/>
  <c r="P34" i="3"/>
  <c r="P5" i="3"/>
  <c r="P15" i="3"/>
  <c r="P44" i="3"/>
  <c r="P49" i="3"/>
  <c r="P57" i="3"/>
  <c r="P20" i="3"/>
  <c r="P29" i="3"/>
  <c r="P17" i="3"/>
  <c r="P38" i="3"/>
  <c r="P50" i="3"/>
  <c r="P27" i="3"/>
  <c r="P62" i="3"/>
  <c r="P42" i="3"/>
  <c r="P24" i="3"/>
  <c r="P45" i="3"/>
  <c r="P19" i="3"/>
  <c r="P52" i="3"/>
  <c r="P37" i="3"/>
  <c r="P30" i="3"/>
  <c r="P11" i="3"/>
  <c r="P51" i="3"/>
  <c r="P48" i="3"/>
  <c r="P61" i="3"/>
  <c r="P60" i="3"/>
  <c r="P58" i="3"/>
  <c r="P41" i="3"/>
  <c r="P4" i="3"/>
  <c r="P56" i="3"/>
  <c r="P14" i="3"/>
  <c r="P43" i="3"/>
  <c r="P13" i="3"/>
  <c r="P31" i="3"/>
  <c r="P16" i="3"/>
  <c r="P7" i="3"/>
  <c r="P39" i="3"/>
  <c r="P23" i="3"/>
  <c r="P21" i="3"/>
  <c r="P28" i="3"/>
  <c r="Q4" i="3"/>
  <c r="Q16" i="3"/>
  <c r="Q41" i="3"/>
  <c r="Q48" i="3"/>
  <c r="Q56" i="3"/>
  <c r="Q7" i="3"/>
  <c r="Q28" i="3"/>
  <c r="Q14" i="3"/>
  <c r="Q24" i="3"/>
  <c r="Q45" i="3"/>
  <c r="Q27" i="3"/>
  <c r="Q62" i="3"/>
  <c r="Q5" i="3"/>
  <c r="Q15" i="3"/>
  <c r="Q44" i="3"/>
  <c r="Q49" i="3"/>
  <c r="Q57" i="3"/>
  <c r="Q20" i="3"/>
  <c r="Q29" i="3"/>
  <c r="Q17" i="3"/>
  <c r="Q38" i="3"/>
  <c r="Q50" i="3"/>
  <c r="Q19" i="3"/>
  <c r="Q52" i="3"/>
  <c r="Q11" i="3"/>
  <c r="Q37" i="3"/>
  <c r="Q13" i="3"/>
  <c r="Q39" i="3"/>
  <c r="Q43" i="3"/>
  <c r="Q60" i="3"/>
  <c r="Q31" i="3"/>
  <c r="Q21" i="3"/>
  <c r="Q58" i="3"/>
  <c r="Q32" i="3"/>
  <c r="Q53" i="3"/>
  <c r="Q22" i="3"/>
  <c r="Q54" i="3"/>
  <c r="Q25" i="3"/>
  <c r="Q12" i="3"/>
  <c r="Q63" i="3"/>
  <c r="Q6" i="3"/>
  <c r="Q8" i="3"/>
  <c r="Q18" i="3"/>
  <c r="Q26" i="3"/>
  <c r="Q35" i="3"/>
  <c r="Q46" i="3"/>
  <c r="Q33" i="3"/>
  <c r="Q42" i="3"/>
  <c r="Q61" i="3"/>
  <c r="Q23" i="3"/>
  <c r="Q47" i="3"/>
  <c r="Q10" i="3"/>
  <c r="Q51" i="3"/>
  <c r="Q36" i="3"/>
  <c r="Q55" i="3"/>
  <c r="Q30" i="3"/>
  <c r="Q64" i="3"/>
  <c r="Q40" i="3"/>
  <c r="Q34" i="3"/>
  <c r="E68" i="8"/>
  <c r="D68" i="8"/>
  <c r="B68" i="8"/>
  <c r="A68" i="8"/>
  <c r="E67" i="8"/>
  <c r="D67" i="8"/>
  <c r="B67" i="8"/>
  <c r="A67" i="8"/>
  <c r="E66" i="8"/>
  <c r="D66" i="8"/>
  <c r="B66" i="8"/>
  <c r="A66" i="8"/>
  <c r="E65" i="8"/>
  <c r="D65" i="8"/>
  <c r="B65" i="8"/>
  <c r="A65" i="8"/>
  <c r="E64" i="8"/>
  <c r="D64" i="8"/>
  <c r="B64" i="8"/>
  <c r="A64" i="8"/>
  <c r="E63" i="8"/>
  <c r="D63" i="8"/>
  <c r="B63" i="8"/>
  <c r="A63" i="8"/>
  <c r="E62" i="8"/>
  <c r="D62" i="8"/>
  <c r="C62" i="8"/>
  <c r="B62" i="8"/>
  <c r="A62" i="8"/>
  <c r="E61" i="8"/>
  <c r="D61" i="8"/>
  <c r="C61" i="8"/>
  <c r="B61" i="8"/>
  <c r="A61" i="8"/>
  <c r="E60" i="8"/>
  <c r="D60" i="8"/>
  <c r="C60" i="8"/>
  <c r="B60" i="8"/>
  <c r="A60" i="8"/>
  <c r="E59" i="8"/>
  <c r="D59" i="8"/>
  <c r="C59" i="8"/>
  <c r="B59" i="8"/>
  <c r="A59" i="8"/>
  <c r="E58" i="8"/>
  <c r="D58" i="8"/>
  <c r="C58" i="8"/>
  <c r="B58" i="8"/>
  <c r="A58" i="8"/>
  <c r="E57" i="8"/>
  <c r="D57" i="8"/>
  <c r="C57" i="8"/>
  <c r="B57" i="8"/>
  <c r="A57" i="8"/>
  <c r="E56" i="8"/>
  <c r="D56" i="8"/>
  <c r="C56" i="8"/>
  <c r="B56" i="8"/>
  <c r="A56" i="8"/>
  <c r="E55" i="8"/>
  <c r="D55" i="8"/>
  <c r="C55" i="8"/>
  <c r="B55" i="8"/>
  <c r="A55" i="8"/>
  <c r="E54" i="8"/>
  <c r="D54" i="8"/>
  <c r="C54" i="8"/>
  <c r="B54" i="8"/>
  <c r="A54" i="8"/>
  <c r="E53" i="8"/>
  <c r="D53" i="8"/>
  <c r="C53" i="8"/>
  <c r="B53" i="8"/>
  <c r="A53" i="8"/>
  <c r="E52" i="8"/>
  <c r="D52" i="8"/>
  <c r="C52" i="8"/>
  <c r="B52" i="8"/>
  <c r="A52" i="8"/>
  <c r="E51" i="8"/>
  <c r="D51" i="8"/>
  <c r="C51" i="8"/>
  <c r="B51" i="8"/>
  <c r="A51" i="8"/>
  <c r="E50" i="8"/>
  <c r="D50" i="8"/>
  <c r="C50" i="8"/>
  <c r="B50" i="8"/>
  <c r="A50" i="8"/>
  <c r="E49" i="8"/>
  <c r="D49" i="8"/>
  <c r="C49" i="8"/>
  <c r="B49" i="8"/>
  <c r="A49" i="8"/>
  <c r="E48" i="8"/>
  <c r="D48" i="8"/>
  <c r="C48" i="8"/>
  <c r="B48" i="8"/>
  <c r="A48" i="8"/>
  <c r="E47" i="8"/>
  <c r="D47" i="8"/>
  <c r="C47" i="8"/>
  <c r="B47" i="8"/>
  <c r="A47" i="8"/>
  <c r="E46" i="8"/>
  <c r="D46" i="8"/>
  <c r="C46" i="8"/>
  <c r="B46" i="8"/>
  <c r="A46" i="8"/>
  <c r="E45" i="8"/>
  <c r="D45" i="8"/>
  <c r="C45" i="8"/>
  <c r="B45" i="8"/>
  <c r="A45" i="8"/>
  <c r="E44" i="8"/>
  <c r="D44" i="8"/>
  <c r="C44" i="8"/>
  <c r="B44" i="8"/>
  <c r="A44" i="8"/>
  <c r="E43" i="8"/>
  <c r="D43" i="8"/>
  <c r="C43" i="8"/>
  <c r="B43" i="8"/>
  <c r="A43" i="8"/>
  <c r="E42" i="8"/>
  <c r="D42" i="8"/>
  <c r="C42" i="8"/>
  <c r="B42" i="8"/>
  <c r="A42" i="8"/>
  <c r="E41" i="8"/>
  <c r="D41" i="8"/>
  <c r="C41" i="8"/>
  <c r="B41" i="8"/>
  <c r="A41" i="8"/>
  <c r="E40" i="8"/>
  <c r="D40" i="8"/>
  <c r="C40" i="8"/>
  <c r="B40" i="8"/>
  <c r="A40" i="8"/>
  <c r="E39" i="8"/>
  <c r="D39" i="8"/>
  <c r="C39" i="8"/>
  <c r="B39" i="8"/>
  <c r="A39" i="8"/>
  <c r="E38" i="8"/>
  <c r="D38" i="8"/>
  <c r="C38" i="8"/>
  <c r="B38" i="8"/>
  <c r="A38" i="8"/>
  <c r="E37" i="8"/>
  <c r="D37" i="8"/>
  <c r="C37" i="8"/>
  <c r="B37" i="8"/>
  <c r="A37" i="8"/>
  <c r="D30" i="8"/>
  <c r="D31" i="8"/>
  <c r="D32" i="8"/>
  <c r="D33" i="8"/>
  <c r="D34" i="8"/>
  <c r="A30" i="8"/>
  <c r="A31" i="8"/>
  <c r="A32" i="8"/>
  <c r="A33" i="8"/>
  <c r="A34" i="8"/>
  <c r="B30" i="8"/>
  <c r="B31" i="8"/>
  <c r="B32" i="8"/>
  <c r="B33" i="8"/>
  <c r="B34" i="8"/>
  <c r="E30" i="8"/>
  <c r="E31" i="8"/>
  <c r="E32" i="8"/>
  <c r="E33" i="8"/>
  <c r="E34" i="8"/>
  <c r="M9" i="3" l="1"/>
  <c r="M59" i="3"/>
  <c r="M24" i="3"/>
  <c r="M38" i="3"/>
  <c r="M45" i="3"/>
  <c r="M50" i="3"/>
  <c r="M27" i="3"/>
  <c r="M19" i="3"/>
  <c r="M62" i="3"/>
  <c r="M52" i="3"/>
  <c r="M39" i="3"/>
  <c r="M60" i="3"/>
  <c r="M21" i="3"/>
  <c r="M11" i="3"/>
  <c r="M37" i="3"/>
  <c r="M42" i="3"/>
  <c r="M51" i="3"/>
  <c r="M30" i="3"/>
  <c r="M23" i="3"/>
  <c r="M61" i="3"/>
  <c r="M13" i="3"/>
  <c r="M43" i="3"/>
  <c r="M31" i="3"/>
  <c r="M58" i="3"/>
  <c r="M35" i="3"/>
  <c r="M18" i="3"/>
  <c r="M46" i="3"/>
  <c r="M54" i="3"/>
  <c r="M33" i="3"/>
  <c r="M26" i="3"/>
  <c r="M25" i="3"/>
  <c r="M36" i="3"/>
  <c r="M47" i="3"/>
  <c r="M64" i="3"/>
  <c r="M40" i="3"/>
  <c r="M55" i="3"/>
  <c r="M34" i="3"/>
  <c r="M10" i="3"/>
  <c r="M32" i="3"/>
  <c r="M57" i="3"/>
  <c r="M14" i="3"/>
  <c r="M8" i="3"/>
  <c r="M41" i="3"/>
  <c r="M6" i="3"/>
  <c r="M17" i="3"/>
  <c r="M53" i="3"/>
  <c r="M15" i="3"/>
  <c r="M44" i="3"/>
  <c r="M7" i="3"/>
  <c r="M22" i="3"/>
  <c r="M16" i="3"/>
  <c r="M4" i="3"/>
  <c r="M63" i="3"/>
  <c r="M20" i="3"/>
  <c r="M5" i="3"/>
  <c r="M48" i="3"/>
  <c r="M29" i="3"/>
  <c r="M12" i="3"/>
  <c r="M49" i="3"/>
  <c r="M28" i="3"/>
  <c r="M56" i="3"/>
  <c r="D3" i="8"/>
  <c r="D4" i="8"/>
  <c r="D5" i="8"/>
  <c r="D6" i="8"/>
  <c r="D7" i="8"/>
  <c r="D8" i="8"/>
  <c r="D9" i="8"/>
  <c r="D10" i="8"/>
  <c r="D11" i="8"/>
  <c r="D12" i="8"/>
  <c r="D13" i="8"/>
  <c r="D14" i="8"/>
  <c r="D15" i="8"/>
  <c r="D16" i="8"/>
  <c r="D17" i="8"/>
  <c r="D18" i="8"/>
  <c r="D19" i="8"/>
  <c r="D20" i="8"/>
  <c r="D21" i="8"/>
  <c r="D22" i="8"/>
  <c r="D23" i="8"/>
  <c r="D24" i="8"/>
  <c r="D25" i="8"/>
  <c r="D26" i="8"/>
  <c r="D27" i="8"/>
  <c r="D28" i="8"/>
  <c r="D29" i="8"/>
  <c r="C4" i="8"/>
  <c r="C5" i="8"/>
  <c r="C6" i="8"/>
  <c r="C7" i="8"/>
  <c r="C8" i="8"/>
  <c r="C9" i="8"/>
  <c r="C10" i="8"/>
  <c r="C11" i="8"/>
  <c r="C12" i="8"/>
  <c r="C13" i="8"/>
  <c r="C14" i="8"/>
  <c r="C15" i="8"/>
  <c r="C16" i="8"/>
  <c r="C17" i="8"/>
  <c r="C18" i="8"/>
  <c r="C19" i="8"/>
  <c r="C20" i="8"/>
  <c r="C21" i="8"/>
  <c r="C22" i="8"/>
  <c r="C23" i="8"/>
  <c r="C24" i="8"/>
  <c r="C25" i="8"/>
  <c r="C26" i="8"/>
  <c r="C27" i="8"/>
  <c r="C28" i="8"/>
  <c r="C3" i="8"/>
  <c r="J4" i="3" l="1"/>
  <c r="I4" i="3"/>
  <c r="H4" i="3"/>
  <c r="G4" i="3"/>
  <c r="A49" i="5" l="1"/>
  <c r="L49" i="5" l="1"/>
  <c r="A58" i="5" s="1"/>
  <c r="K58" i="5" l="1"/>
  <c r="B58" i="5"/>
  <c r="J58" i="5"/>
  <c r="I58" i="5"/>
  <c r="H58" i="5"/>
  <c r="G58" i="5"/>
  <c r="F58" i="5"/>
  <c r="D58" i="5"/>
  <c r="C58" i="5"/>
  <c r="A56" i="5"/>
  <c r="A55" i="5"/>
  <c r="A54" i="5"/>
  <c r="A53" i="5"/>
  <c r="A52" i="5"/>
  <c r="A59" i="5"/>
  <c r="A57" i="5"/>
  <c r="F32" i="10"/>
  <c r="G32" i="10"/>
  <c r="C32" i="10"/>
  <c r="D32" i="10"/>
  <c r="B32" i="10"/>
  <c r="C31" i="10"/>
  <c r="D31" i="10"/>
  <c r="B31" i="10"/>
  <c r="G31" i="10"/>
  <c r="F31" i="10"/>
  <c r="K23" i="10"/>
  <c r="G23" i="10"/>
  <c r="D23" i="10"/>
  <c r="C23" i="10"/>
  <c r="J23" i="10"/>
  <c r="B23" i="10"/>
  <c r="H23" i="10"/>
  <c r="F23" i="10"/>
  <c r="I23" i="10"/>
  <c r="F13" i="10"/>
  <c r="E13" i="10"/>
  <c r="E14" i="10" s="1"/>
  <c r="C13" i="10"/>
  <c r="G13" i="10"/>
  <c r="K13" i="10"/>
  <c r="J13" i="10"/>
  <c r="H13" i="10"/>
  <c r="B13" i="10"/>
  <c r="I13" i="10"/>
  <c r="D13" i="10"/>
  <c r="K24" i="10"/>
  <c r="C24" i="10"/>
  <c r="F24" i="10"/>
  <c r="J24" i="10"/>
  <c r="B24" i="10"/>
  <c r="G24" i="10"/>
  <c r="D24" i="10"/>
  <c r="I24" i="10"/>
  <c r="H24" i="10"/>
  <c r="C33" i="10"/>
  <c r="B33" i="10"/>
  <c r="D33" i="10"/>
  <c r="F33" i="10"/>
  <c r="G33" i="10"/>
  <c r="D34" i="10"/>
  <c r="F34" i="10"/>
  <c r="C34" i="10"/>
  <c r="B34" i="10"/>
  <c r="G34" i="10"/>
  <c r="C14" i="10"/>
  <c r="H14" i="10"/>
  <c r="B14" i="10"/>
  <c r="G14" i="10"/>
  <c r="J14" i="10"/>
  <c r="K14" i="10"/>
  <c r="I14" i="10"/>
  <c r="D14" i="10"/>
  <c r="F14" i="10"/>
  <c r="G16" i="10"/>
  <c r="J16" i="10"/>
  <c r="E16" i="10"/>
  <c r="E17" i="10" s="1"/>
  <c r="D16" i="10"/>
  <c r="H16" i="10"/>
  <c r="K16" i="10"/>
  <c r="F16" i="10"/>
  <c r="I16" i="10"/>
  <c r="C16" i="10"/>
  <c r="B16" i="10"/>
  <c r="D26" i="10"/>
  <c r="J26" i="10"/>
  <c r="K26" i="10"/>
  <c r="F26" i="10"/>
  <c r="C26" i="10"/>
  <c r="B26" i="10"/>
  <c r="I26" i="10"/>
  <c r="H26" i="10"/>
  <c r="G26" i="10"/>
  <c r="B35" i="10"/>
  <c r="D35" i="10"/>
  <c r="C35" i="10"/>
  <c r="G35" i="10"/>
  <c r="F35" i="10"/>
  <c r="G22" i="10"/>
  <c r="F22" i="10"/>
  <c r="D22" i="10"/>
  <c r="C22" i="10"/>
  <c r="K22" i="10"/>
  <c r="I22" i="10"/>
  <c r="H22" i="10"/>
  <c r="J22" i="10"/>
  <c r="B22" i="10"/>
  <c r="B17" i="10"/>
  <c r="I17" i="10"/>
  <c r="C17" i="10"/>
  <c r="G17" i="10"/>
  <c r="D17" i="10"/>
  <c r="H17" i="10"/>
  <c r="K17" i="10"/>
  <c r="F17" i="10"/>
  <c r="J17" i="10"/>
  <c r="I27" i="10"/>
  <c r="G27" i="10"/>
  <c r="K27" i="10"/>
  <c r="H27" i="10"/>
  <c r="C27" i="10"/>
  <c r="F27" i="10"/>
  <c r="B27" i="10"/>
  <c r="D27" i="10"/>
  <c r="J27" i="10"/>
  <c r="G36" i="10"/>
  <c r="F36" i="10"/>
  <c r="C36" i="10"/>
  <c r="B36" i="10"/>
  <c r="D36" i="10"/>
  <c r="I25" i="10"/>
  <c r="G25" i="10"/>
  <c r="J25" i="10"/>
  <c r="D25" i="10"/>
  <c r="B25" i="10"/>
  <c r="F25" i="10"/>
  <c r="C25" i="10"/>
  <c r="H25" i="10"/>
  <c r="K25" i="10"/>
  <c r="E19" i="10"/>
  <c r="E20" i="10" s="1"/>
  <c r="H19" i="10"/>
  <c r="J19" i="10"/>
  <c r="K19" i="10"/>
  <c r="D19" i="10"/>
  <c r="C19" i="10"/>
  <c r="B19" i="10"/>
  <c r="I19" i="10"/>
  <c r="G19" i="10"/>
  <c r="F19" i="10"/>
  <c r="K28" i="10"/>
  <c r="H28" i="10"/>
  <c r="D28" i="10"/>
  <c r="C28" i="10"/>
  <c r="B28" i="10"/>
  <c r="J28" i="10"/>
  <c r="I28" i="10"/>
  <c r="F28" i="10"/>
  <c r="G28" i="10"/>
  <c r="G37" i="10"/>
  <c r="D37" i="10"/>
  <c r="C37" i="10"/>
  <c r="F37" i="10"/>
  <c r="B37" i="10"/>
  <c r="G11" i="10"/>
  <c r="D11" i="10"/>
  <c r="C11" i="10"/>
  <c r="K11" i="10"/>
  <c r="J11" i="10"/>
  <c r="B11" i="10"/>
  <c r="I11" i="10"/>
  <c r="F11" i="10"/>
  <c r="H11" i="10"/>
  <c r="B10" i="10"/>
  <c r="D10" i="10"/>
  <c r="I10" i="10"/>
  <c r="G10" i="10"/>
  <c r="J10" i="10"/>
  <c r="E10" i="10"/>
  <c r="E11" i="10" s="1"/>
  <c r="F10" i="10"/>
  <c r="H10" i="10"/>
  <c r="K10" i="10"/>
  <c r="C10" i="10"/>
  <c r="G20" i="10"/>
  <c r="K20" i="10"/>
  <c r="I20" i="10"/>
  <c r="D20" i="10"/>
  <c r="H20" i="10"/>
  <c r="C20" i="10"/>
  <c r="J20" i="10"/>
  <c r="F20" i="10"/>
  <c r="B20" i="10"/>
  <c r="J29" i="10"/>
  <c r="D29" i="10"/>
  <c r="K29" i="10"/>
  <c r="C29" i="10"/>
  <c r="G29" i="10"/>
  <c r="H29" i="10"/>
  <c r="B29" i="10"/>
  <c r="F29" i="10"/>
  <c r="I29" i="10"/>
  <c r="G38" i="10"/>
  <c r="B38" i="10"/>
  <c r="F38" i="10"/>
  <c r="D38" i="10"/>
  <c r="C38" i="10"/>
  <c r="A51" i="5"/>
  <c r="I51" i="5" s="1"/>
  <c r="H46" i="5" l="1"/>
  <c r="K46" i="5"/>
  <c r="I46" i="5"/>
  <c r="J46" i="5"/>
  <c r="J35" i="5"/>
  <c r="H35" i="5"/>
  <c r="I35" i="5"/>
  <c r="K35" i="5"/>
  <c r="K31" i="5"/>
  <c r="H31" i="5"/>
  <c r="J31" i="5"/>
  <c r="I31" i="5"/>
  <c r="I44" i="5"/>
  <c r="K44" i="5"/>
  <c r="J44" i="5"/>
  <c r="H44" i="5"/>
  <c r="J45" i="5"/>
  <c r="K45" i="5"/>
  <c r="H45" i="5"/>
  <c r="I45" i="5"/>
  <c r="K38" i="5"/>
  <c r="J38" i="5"/>
  <c r="I38" i="5"/>
  <c r="H38" i="5"/>
  <c r="J37" i="5"/>
  <c r="K37" i="5"/>
  <c r="I37" i="5"/>
  <c r="H37" i="5"/>
  <c r="I42" i="5"/>
  <c r="K42" i="5"/>
  <c r="H42" i="5"/>
  <c r="J42" i="5"/>
  <c r="K34" i="5"/>
  <c r="J34" i="5"/>
  <c r="H34" i="5"/>
  <c r="I34" i="5"/>
  <c r="J33" i="5"/>
  <c r="I33" i="5"/>
  <c r="H33" i="5"/>
  <c r="K33" i="5"/>
  <c r="K41" i="5"/>
  <c r="J41" i="5"/>
  <c r="I41" i="5"/>
  <c r="H41" i="5"/>
  <c r="H43" i="5"/>
  <c r="K43" i="5"/>
  <c r="J43" i="5"/>
  <c r="I43" i="5"/>
  <c r="K36" i="5"/>
  <c r="H36" i="5"/>
  <c r="J36" i="5"/>
  <c r="I36" i="5"/>
  <c r="J32" i="5"/>
  <c r="I32" i="5"/>
  <c r="K32" i="5"/>
  <c r="H32" i="5"/>
  <c r="I47" i="5"/>
  <c r="J47" i="5"/>
  <c r="H47" i="5"/>
  <c r="K47" i="5"/>
  <c r="K40" i="5"/>
  <c r="H40" i="5"/>
  <c r="J40" i="5"/>
  <c r="I40" i="5"/>
  <c r="K57" i="5"/>
  <c r="H57" i="5"/>
  <c r="J57" i="5"/>
  <c r="G57" i="5"/>
  <c r="B57" i="5"/>
  <c r="F57" i="5"/>
  <c r="C57" i="5"/>
  <c r="I57" i="5"/>
  <c r="D57" i="5"/>
  <c r="I25" i="5"/>
  <c r="C25" i="5"/>
  <c r="G25" i="5"/>
  <c r="B25" i="5"/>
  <c r="J25" i="5"/>
  <c r="K25" i="5"/>
  <c r="H25" i="5"/>
  <c r="D25" i="5"/>
  <c r="F25" i="5"/>
  <c r="J10" i="5"/>
  <c r="K10" i="5"/>
  <c r="I10" i="5"/>
  <c r="H10" i="5"/>
  <c r="J51" i="5"/>
  <c r="K51" i="5"/>
  <c r="H51" i="5"/>
  <c r="J59" i="5"/>
  <c r="I59" i="5"/>
  <c r="K59" i="5"/>
  <c r="H59" i="5"/>
  <c r="J56" i="5"/>
  <c r="I56" i="5"/>
  <c r="H56" i="5"/>
  <c r="K56" i="5"/>
  <c r="H55" i="5"/>
  <c r="K55" i="5"/>
  <c r="J55" i="5"/>
  <c r="I55" i="5"/>
  <c r="J54" i="5"/>
  <c r="I54" i="5"/>
  <c r="K54" i="5"/>
  <c r="H54" i="5"/>
  <c r="J53" i="5"/>
  <c r="K53" i="5"/>
  <c r="I53" i="5"/>
  <c r="H53" i="5"/>
  <c r="J52" i="5"/>
  <c r="I52" i="5"/>
  <c r="K52" i="5"/>
  <c r="H52" i="5"/>
  <c r="I14" i="5"/>
  <c r="H14" i="5"/>
  <c r="K14" i="5"/>
  <c r="J14" i="5"/>
  <c r="J13" i="5"/>
  <c r="K13" i="5"/>
  <c r="I13" i="5"/>
  <c r="H13" i="5"/>
  <c r="I23" i="5"/>
  <c r="K23" i="5"/>
  <c r="J23" i="5"/>
  <c r="H23" i="5"/>
  <c r="K28" i="5"/>
  <c r="J28" i="5"/>
  <c r="H28" i="5"/>
  <c r="I28" i="5"/>
  <c r="I11" i="5"/>
  <c r="J11" i="5"/>
  <c r="K11" i="5"/>
  <c r="H11" i="5"/>
  <c r="K19" i="5"/>
  <c r="J19" i="5"/>
  <c r="I19" i="5"/>
  <c r="H19" i="5"/>
  <c r="K22" i="5"/>
  <c r="J22" i="5"/>
  <c r="H22" i="5"/>
  <c r="I22" i="5"/>
  <c r="K26" i="5"/>
  <c r="J26" i="5"/>
  <c r="I26" i="5"/>
  <c r="H26" i="5"/>
  <c r="K16" i="5"/>
  <c r="J16" i="5"/>
  <c r="H16" i="5"/>
  <c r="I16" i="5"/>
  <c r="H29" i="5"/>
  <c r="K29" i="5"/>
  <c r="J29" i="5"/>
  <c r="I29" i="5"/>
  <c r="I27" i="5"/>
  <c r="H27" i="5"/>
  <c r="K27" i="5"/>
  <c r="J27" i="5"/>
  <c r="H20" i="5"/>
  <c r="K20" i="5"/>
  <c r="J20" i="5"/>
  <c r="I20" i="5"/>
  <c r="J17" i="5"/>
  <c r="H17" i="5"/>
  <c r="K17" i="5"/>
  <c r="I17" i="5"/>
  <c r="K24" i="5"/>
  <c r="J24" i="5"/>
  <c r="H24" i="5"/>
  <c r="I24" i="5"/>
  <c r="G5" i="5" l="1"/>
  <c r="G6" i="5"/>
  <c r="D52" i="5" l="1"/>
  <c r="D56" i="5"/>
  <c r="G55" i="5"/>
  <c r="C56" i="5" l="1"/>
  <c r="F56" i="5"/>
  <c r="B56" i="5"/>
  <c r="G56" i="5"/>
  <c r="B52" i="5"/>
  <c r="G52" i="5"/>
  <c r="F52" i="5"/>
  <c r="C52" i="5"/>
  <c r="G54" i="5"/>
  <c r="C55" i="5"/>
  <c r="D55" i="5"/>
  <c r="C54" i="5"/>
  <c r="F54" i="5"/>
  <c r="B55" i="5"/>
  <c r="D54" i="5"/>
  <c r="B54" i="5"/>
  <c r="F55" i="5"/>
  <c r="B53" i="5"/>
  <c r="G53" i="5"/>
  <c r="F53" i="5"/>
  <c r="D53" i="5"/>
  <c r="C53" i="5"/>
  <c r="B59" i="5"/>
  <c r="D59" i="5"/>
  <c r="G59" i="5"/>
  <c r="F59" i="5"/>
  <c r="C59" i="5"/>
  <c r="E16" i="5" l="1"/>
  <c r="E19" i="5"/>
  <c r="E13" i="5"/>
  <c r="E10" i="5"/>
  <c r="E20" i="5" l="1"/>
  <c r="E11" i="5"/>
  <c r="E17" i="5"/>
  <c r="E14" i="5"/>
  <c r="C42" i="5" l="1"/>
  <c r="F42" i="5"/>
  <c r="G42" i="5"/>
  <c r="D42" i="5"/>
  <c r="G44" i="5"/>
  <c r="F44" i="5"/>
  <c r="D44" i="5"/>
  <c r="C44" i="5"/>
  <c r="D41" i="5"/>
  <c r="C41" i="5"/>
  <c r="G41" i="5"/>
  <c r="F41" i="5"/>
  <c r="D46" i="5"/>
  <c r="C46" i="5"/>
  <c r="G46" i="5"/>
  <c r="F46" i="5"/>
  <c r="G43" i="5"/>
  <c r="F43" i="5"/>
  <c r="C43" i="5"/>
  <c r="D43" i="5"/>
  <c r="D45" i="5"/>
  <c r="C45" i="5"/>
  <c r="G45" i="5"/>
  <c r="F45" i="5"/>
  <c r="G40" i="5"/>
  <c r="C40" i="5"/>
  <c r="D40" i="5"/>
  <c r="F40" i="5"/>
  <c r="G47" i="5"/>
  <c r="C47" i="5"/>
  <c r="D47" i="5"/>
  <c r="F47" i="5"/>
  <c r="G51" i="5"/>
  <c r="C51" i="5" l="1"/>
  <c r="D51" i="5"/>
  <c r="F51" i="5"/>
  <c r="B51" i="5"/>
  <c r="A25" i="8" l="1"/>
  <c r="A26" i="8"/>
  <c r="A27" i="8"/>
  <c r="A28" i="8"/>
  <c r="A29" i="8"/>
  <c r="B25" i="8"/>
  <c r="B26" i="8"/>
  <c r="B27" i="8"/>
  <c r="B28" i="8"/>
  <c r="B29" i="8"/>
  <c r="E25" i="8"/>
  <c r="E26" i="8"/>
  <c r="E27" i="8"/>
  <c r="E28" i="8"/>
  <c r="E29" i="8"/>
  <c r="A24" i="8"/>
  <c r="B24" i="8"/>
  <c r="E24" i="8"/>
  <c r="A3" i="8" l="1"/>
  <c r="A7" i="8"/>
  <c r="A8" i="8"/>
  <c r="A9" i="8"/>
  <c r="A10" i="8"/>
  <c r="A11" i="8"/>
  <c r="A12" i="8"/>
  <c r="A13" i="8"/>
  <c r="A14" i="8"/>
  <c r="A15" i="8"/>
  <c r="A16" i="8"/>
  <c r="A17" i="8"/>
  <c r="A18" i="8"/>
  <c r="A19" i="8"/>
  <c r="A20" i="8"/>
  <c r="A21" i="8"/>
  <c r="A22" i="8"/>
  <c r="A23" i="8"/>
  <c r="B7" i="8"/>
  <c r="B8" i="8"/>
  <c r="B9" i="8"/>
  <c r="B10" i="8"/>
  <c r="B11" i="8"/>
  <c r="B12" i="8"/>
  <c r="B13" i="8"/>
  <c r="B14" i="8"/>
  <c r="B15" i="8"/>
  <c r="B16" i="8"/>
  <c r="B17" i="8"/>
  <c r="B18" i="8"/>
  <c r="B19" i="8"/>
  <c r="B20" i="8"/>
  <c r="B21" i="8"/>
  <c r="B22" i="8"/>
  <c r="B23" i="8"/>
  <c r="E7" i="8"/>
  <c r="E8" i="8"/>
  <c r="E9" i="8"/>
  <c r="E10" i="8"/>
  <c r="E11" i="8"/>
  <c r="E12" i="8"/>
  <c r="E13" i="8"/>
  <c r="E14" i="8"/>
  <c r="E15" i="8"/>
  <c r="E16" i="8"/>
  <c r="E17" i="8"/>
  <c r="E18" i="8"/>
  <c r="E19" i="8"/>
  <c r="E20" i="8"/>
  <c r="E21" i="8"/>
  <c r="E22" i="8"/>
  <c r="E23" i="8"/>
  <c r="L24" i="3" l="1"/>
  <c r="E3" i="8"/>
  <c r="E4" i="8"/>
  <c r="E5" i="8"/>
  <c r="E6" i="8"/>
  <c r="B3" i="8"/>
  <c r="B4" i="8"/>
  <c r="B5" i="8"/>
  <c r="B6" i="8"/>
  <c r="A4" i="8"/>
  <c r="A5" i="8"/>
  <c r="A6" i="8"/>
  <c r="L57" i="3" s="1"/>
  <c r="L44" i="3" l="1"/>
  <c r="L9" i="3"/>
  <c r="L59" i="3"/>
  <c r="L10" i="3"/>
  <c r="L39" i="3"/>
  <c r="L28" i="3"/>
  <c r="L47" i="3"/>
  <c r="L13" i="3"/>
  <c r="L26" i="3"/>
  <c r="L63" i="3"/>
  <c r="L19" i="3"/>
  <c r="L31" i="3"/>
  <c r="L42" i="3"/>
  <c r="L15" i="3"/>
  <c r="L56" i="3"/>
  <c r="L60" i="3"/>
  <c r="L40" i="3"/>
  <c r="L54" i="3"/>
  <c r="L32" i="3"/>
  <c r="L27" i="3"/>
  <c r="L11" i="3"/>
  <c r="L36" i="3"/>
  <c r="L12" i="3"/>
  <c r="L17" i="3"/>
  <c r="L34" i="3"/>
  <c r="L7" i="3"/>
  <c r="L35" i="3"/>
  <c r="L23" i="3"/>
  <c r="L45" i="3"/>
  <c r="L29" i="3"/>
  <c r="L55" i="3"/>
  <c r="L46" i="3"/>
  <c r="L50" i="3"/>
  <c r="L41" i="3"/>
  <c r="L48" i="3"/>
  <c r="L43" i="3"/>
  <c r="L8" i="3"/>
  <c r="L51" i="3"/>
  <c r="L38" i="3"/>
  <c r="L20" i="3"/>
  <c r="L64" i="3"/>
  <c r="L25" i="3"/>
  <c r="L14" i="3"/>
  <c r="L16" i="3"/>
  <c r="L33" i="3"/>
  <c r="L6" i="3"/>
  <c r="L52" i="3"/>
  <c r="L61" i="3"/>
  <c r="L49" i="3"/>
  <c r="L22" i="3"/>
  <c r="L37" i="3"/>
  <c r="L58" i="3"/>
  <c r="L21" i="3"/>
  <c r="L18" i="3"/>
  <c r="L53" i="3"/>
  <c r="L62" i="3"/>
  <c r="L30" i="3"/>
  <c r="L5" i="3"/>
  <c r="L4" i="3"/>
  <c r="G7" i="5"/>
  <c r="C36" i="5" l="1"/>
  <c r="F36" i="5"/>
  <c r="G36" i="5"/>
  <c r="B36" i="5"/>
  <c r="D36" i="5"/>
  <c r="B37" i="5"/>
  <c r="F37" i="5"/>
  <c r="G37" i="5"/>
  <c r="D37" i="5"/>
  <c r="C37" i="5"/>
  <c r="B33" i="5"/>
  <c r="C33" i="5"/>
  <c r="G33" i="5"/>
  <c r="F33" i="5"/>
  <c r="D33" i="5"/>
  <c r="D38" i="5"/>
  <c r="B38" i="5"/>
  <c r="C38" i="5"/>
  <c r="F38" i="5"/>
  <c r="G38" i="5"/>
  <c r="D35" i="5"/>
  <c r="B35" i="5"/>
  <c r="C35" i="5"/>
  <c r="F35" i="5"/>
  <c r="G35" i="5"/>
  <c r="C32" i="5"/>
  <c r="G32" i="5"/>
  <c r="D32" i="5"/>
  <c r="F32" i="5"/>
  <c r="B32" i="5"/>
  <c r="C34" i="5"/>
  <c r="G34" i="5"/>
  <c r="F34" i="5"/>
  <c r="B34" i="5"/>
  <c r="D34" i="5"/>
  <c r="D31" i="5"/>
  <c r="F31" i="5"/>
  <c r="B31" i="5"/>
  <c r="C31" i="5"/>
  <c r="G31" i="5"/>
  <c r="F24" i="5" l="1"/>
  <c r="C24" i="5"/>
  <c r="G24" i="5"/>
  <c r="D24" i="5"/>
  <c r="B24" i="5"/>
  <c r="G16" i="5"/>
  <c r="F16" i="5"/>
  <c r="D16" i="5"/>
  <c r="C16" i="5"/>
  <c r="B16" i="5"/>
  <c r="G22" i="5"/>
  <c r="F22" i="5"/>
  <c r="D22" i="5"/>
  <c r="C22" i="5"/>
  <c r="B22" i="5"/>
  <c r="G14" i="5"/>
  <c r="F14" i="5"/>
  <c r="D14" i="5"/>
  <c r="C14" i="5"/>
  <c r="B14" i="5"/>
  <c r="G29" i="5"/>
  <c r="F29" i="5"/>
  <c r="D29" i="5"/>
  <c r="C29" i="5"/>
  <c r="B29" i="5"/>
  <c r="G17" i="5"/>
  <c r="F17" i="5"/>
  <c r="D17" i="5"/>
  <c r="C17" i="5"/>
  <c r="B17" i="5"/>
  <c r="G10" i="5"/>
  <c r="F10" i="5"/>
  <c r="D10" i="5"/>
  <c r="C10" i="5"/>
  <c r="B10" i="5"/>
  <c r="F13" i="5"/>
  <c r="B13" i="5"/>
  <c r="C13" i="5"/>
  <c r="G13" i="5"/>
  <c r="D13" i="5"/>
  <c r="G19" i="5"/>
  <c r="F19" i="5"/>
  <c r="D19" i="5"/>
  <c r="C19" i="5"/>
  <c r="B19" i="5"/>
  <c r="F23" i="5"/>
  <c r="C23" i="5"/>
  <c r="G23" i="5"/>
  <c r="D23" i="5"/>
  <c r="B23" i="5"/>
  <c r="G26" i="5"/>
  <c r="F26" i="5"/>
  <c r="D26" i="5"/>
  <c r="C26" i="5"/>
  <c r="B26" i="5"/>
  <c r="B11" i="5"/>
  <c r="C11" i="5"/>
  <c r="G11" i="5"/>
  <c r="D11" i="5"/>
  <c r="F11" i="5"/>
  <c r="G27" i="5"/>
  <c r="F27" i="5"/>
  <c r="D27" i="5"/>
  <c r="C27" i="5"/>
  <c r="B27" i="5"/>
  <c r="G28" i="5"/>
  <c r="F28" i="5"/>
  <c r="D28" i="5"/>
  <c r="C28" i="5"/>
  <c r="B28" i="5"/>
  <c r="G20" i="5"/>
  <c r="F20" i="5"/>
  <c r="D20" i="5"/>
  <c r="C20" i="5"/>
  <c r="B20" i="5"/>
</calcChain>
</file>

<file path=xl/sharedStrings.xml><?xml version="1.0" encoding="utf-8"?>
<sst xmlns="http://schemas.openxmlformats.org/spreadsheetml/2006/main" count="2462" uniqueCount="391">
  <si>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</si>
  <si>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</si>
  <si>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</si>
  <si>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</si>
  <si>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</si>
  <si>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</si>
  <si>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</si>
  <si>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</si>
  <si>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</si>
  <si>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2024 Full-Time Enrolment Planner</t>
  </si>
  <si>
    <t>Course:</t>
  </si>
  <si>
    <t>Bachelor of Applied Science (Interior Architecture) (Honours) (OpenUnis)</t>
  </si>
  <si>
    <t>Course / Stream version:</t>
  </si>
  <si>
    <t>Specialisation:</t>
  </si>
  <si>
    <t>Animation and Game Architecture Design Specialisation (OpenUnis)</t>
  </si>
  <si>
    <t>Specialisation version:</t>
  </si>
  <si>
    <t>Commencing:</t>
  </si>
  <si>
    <t>Study Period 1 (February - May)</t>
  </si>
  <si>
    <t>Credits to Complete:</t>
  </si>
  <si>
    <t>2024 Availabilities</t>
  </si>
  <si>
    <t>Year 1</t>
  </si>
  <si>
    <t>OUA Code</t>
  </si>
  <si>
    <t>Study Period</t>
  </si>
  <si>
    <t>Pre Requisite(s)</t>
  </si>
  <si>
    <t>CP</t>
  </si>
  <si>
    <t>SP1</t>
  </si>
  <si>
    <t>SP2</t>
  </si>
  <si>
    <t>SP3</t>
  </si>
  <si>
    <t>SP4</t>
  </si>
  <si>
    <t>Progress</t>
  </si>
  <si>
    <t>Year 2</t>
  </si>
  <si>
    <t>Year 3</t>
  </si>
  <si>
    <t>Year 4</t>
  </si>
  <si>
    <t>Pre Requisites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</si>
  <si>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</si>
  <si>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</si>
  <si>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</si>
  <si>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</si>
  <si>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Bachelor of Interior Design (OpenUnis)</t>
  </si>
  <si>
    <t>Choose your Specialisation (drop-down list)</t>
  </si>
  <si>
    <t>Choose your commencing study period (drop-down list)</t>
  </si>
  <si>
    <t>RangeUnitSets</t>
  </si>
  <si>
    <t>OB-INDSGNSP1</t>
  </si>
  <si>
    <t>OB-INDSGNSP2</t>
  </si>
  <si>
    <t>OB-INDSGNSP3</t>
  </si>
  <si>
    <t>OB-INDSGNSP4</t>
  </si>
  <si>
    <t>OSCU-ANGADSP1</t>
  </si>
  <si>
    <t>OSCU-ANGADSP2</t>
  </si>
  <si>
    <t>OSCU-ANGADSP3</t>
  </si>
  <si>
    <t>OSCU-ANGADSP4</t>
  </si>
  <si>
    <t>OSEU-ARCHTSP1</t>
  </si>
  <si>
    <t>OSEU-ARCHTSP2</t>
  </si>
  <si>
    <t>OSEU-ARCHTSP3</t>
  </si>
  <si>
    <t>OSEU-ARCHTSP4</t>
  </si>
  <si>
    <t>OSCU-CONMSSP1</t>
  </si>
  <si>
    <t>OSCU-CONMSSP2</t>
  </si>
  <si>
    <t>OSCU-CONMSSP3</t>
  </si>
  <si>
    <t>OSCU-CONMSSP4</t>
  </si>
  <si>
    <t>OSCU-DIGDESP1</t>
  </si>
  <si>
    <t>OSCU-DIGDESP2</t>
  </si>
  <si>
    <t>OSCU-DIGDESP3</t>
  </si>
  <si>
    <t>OSCU-DIGDESP4</t>
  </si>
  <si>
    <t>OSCU-PLGEOSP1</t>
  </si>
  <si>
    <t>OSCU-PLGEOSP2</t>
  </si>
  <si>
    <t>OSCU-PLGEOSP3</t>
  </si>
  <si>
    <t>OSCU-PLGEOSP4</t>
  </si>
  <si>
    <t>Y1SP1</t>
  </si>
  <si>
    <t>ARCH1020</t>
  </si>
  <si>
    <t>Y1SP2</t>
  </si>
  <si>
    <t>Y1SP3</t>
  </si>
  <si>
    <t>Y1SP4</t>
  </si>
  <si>
    <t>ARCH1021</t>
  </si>
  <si>
    <t>TableCourses</t>
  </si>
  <si>
    <t>INAR1011</t>
  </si>
  <si>
    <t>COMS1007</t>
  </si>
  <si>
    <t>Choose your Course</t>
  </si>
  <si>
    <t>Version</t>
  </si>
  <si>
    <t>Credit Points</t>
  </si>
  <si>
    <t>Effective Date</t>
  </si>
  <si>
    <t>Akari Update</t>
  </si>
  <si>
    <t>Bachelor of Applied Science (Interior Architecture) (Honours) (OpenUnis CSP)</t>
  </si>
  <si>
    <t>EO-INARCH</t>
  </si>
  <si>
    <t>v.1</t>
  </si>
  <si>
    <t>800 credit points required</t>
  </si>
  <si>
    <t>SP1; SP2; SP3; SP4</t>
  </si>
  <si>
    <t>Spec</t>
  </si>
  <si>
    <t>EO-INARCH1</t>
  </si>
  <si>
    <t>INAR1015</t>
  </si>
  <si>
    <t>ARCH1024</t>
  </si>
  <si>
    <t>Bachelor of Interior Design (OpenUnis CSP)</t>
  </si>
  <si>
    <t>OU-INDSGN</t>
  </si>
  <si>
    <t>600 credit points required</t>
  </si>
  <si>
    <t>INAR2020</t>
  </si>
  <si>
    <t>INAR2023</t>
  </si>
  <si>
    <t>OB-INDSGN</t>
  </si>
  <si>
    <t>TableStudyPeriod</t>
  </si>
  <si>
    <t>Y2SP1</t>
  </si>
  <si>
    <t>Y2SP2</t>
  </si>
  <si>
    <t>Y2SP3</t>
  </si>
  <si>
    <t>Y2SP4</t>
  </si>
  <si>
    <t>INAR2015</t>
  </si>
  <si>
    <t>START</t>
  </si>
  <si>
    <t>Next</t>
  </si>
  <si>
    <t>Next2</t>
  </si>
  <si>
    <t>Next3</t>
  </si>
  <si>
    <t>ARCH2029</t>
  </si>
  <si>
    <t>Study Period 2 (May - August)</t>
  </si>
  <si>
    <t>ARCH2027</t>
  </si>
  <si>
    <t>Study Period 3 (August - November)</t>
  </si>
  <si>
    <t>GRDE2045</t>
  </si>
  <si>
    <t>Study Period 4 (November - February)</t>
  </si>
  <si>
    <t>TableSpecialisations</t>
  </si>
  <si>
    <t>Y3SP1</t>
  </si>
  <si>
    <t>URDE3011</t>
  </si>
  <si>
    <t>Y3SP2</t>
  </si>
  <si>
    <t>Y3SP3</t>
  </si>
  <si>
    <t>Y3SP4</t>
  </si>
  <si>
    <t>OSCU-ANGAD</t>
  </si>
  <si>
    <t>100 credit points</t>
  </si>
  <si>
    <t>INAR2025</t>
  </si>
  <si>
    <t>Architectural Technology Specialisation (OpenUnis)</t>
  </si>
  <si>
    <t>OSEU-ARCHT</t>
  </si>
  <si>
    <t>ARCH3015</t>
  </si>
  <si>
    <t>Construction Management Specialisation (OpenUnis)</t>
  </si>
  <si>
    <t>OSCU-CONMS</t>
  </si>
  <si>
    <t>INAR3021</t>
  </si>
  <si>
    <t>Digital Design Specialisation (OpenUnis)</t>
  </si>
  <si>
    <t>OSCU-DIGDE</t>
  </si>
  <si>
    <t>INAR3012</t>
  </si>
  <si>
    <t>Planning and Geography Specialisation (OpenUnis)</t>
  </si>
  <si>
    <t>OSCU-PLGEO</t>
  </si>
  <si>
    <t>INAR3017</t>
  </si>
  <si>
    <t>INAR3023</t>
  </si>
  <si>
    <t>INAR3025</t>
  </si>
  <si>
    <t>Spec Unit</t>
  </si>
  <si>
    <t>Y4SP1</t>
  </si>
  <si>
    <t>INAR4024</t>
  </si>
  <si>
    <t>Y4SP2</t>
  </si>
  <si>
    <t>Y4SP3</t>
  </si>
  <si>
    <t>Y4SP4</t>
  </si>
  <si>
    <t>Structures done; Availabilities done; Pre Reqs done</t>
  </si>
  <si>
    <t>INAR4026</t>
  </si>
  <si>
    <t>Completed - UnitSet tables</t>
  </si>
  <si>
    <t>INAR4028</t>
  </si>
  <si>
    <t>Completed - Review Handbook</t>
  </si>
  <si>
    <t>INAR4030</t>
  </si>
  <si>
    <t>Completed - Set up Front Page - Honours and Interior Design</t>
  </si>
  <si>
    <t>INAR4032</t>
  </si>
  <si>
    <t>Review / confirm sequencing!!</t>
  </si>
  <si>
    <t>-</t>
  </si>
  <si>
    <t>INAR4034</t>
  </si>
  <si>
    <t>23/02/2024 - Sequencing conmfirmed with Steve, time to clean up and publish!!</t>
  </si>
  <si>
    <t>Specialisation Unit</t>
  </si>
  <si>
    <t>50CP Unit</t>
  </si>
  <si>
    <t>RangeSpecSets</t>
  </si>
  <si>
    <t>Spec1</t>
  </si>
  <si>
    <t>GRDE1022</t>
  </si>
  <si>
    <t>ARCH1026</t>
  </si>
  <si>
    <t>BLDG1005</t>
  </si>
  <si>
    <t>GRDE1017</t>
  </si>
  <si>
    <t>URDE1007</t>
  </si>
  <si>
    <t>Spec2</t>
  </si>
  <si>
    <t>GRDE2036</t>
  </si>
  <si>
    <t>ARCH1009</t>
  </si>
  <si>
    <t>AND</t>
  </si>
  <si>
    <t>ICTE2003</t>
  </si>
  <si>
    <t>URDE1008</t>
  </si>
  <si>
    <t>Spec3</t>
  </si>
  <si>
    <t>GRDE2042</t>
  </si>
  <si>
    <t>ARCH2031</t>
  </si>
  <si>
    <t>AC-CONMS</t>
  </si>
  <si>
    <t>GRDE2023</t>
  </si>
  <si>
    <t>PHGY3001</t>
  </si>
  <si>
    <t>Spec4</t>
  </si>
  <si>
    <t>BLDG1006</t>
  </si>
  <si>
    <t>GRDE2030</t>
  </si>
  <si>
    <t>Spec5</t>
  </si>
  <si>
    <t>AC-ANGAD</t>
  </si>
  <si>
    <t>Opt-ARCHT</t>
  </si>
  <si>
    <t>BLDG1009</t>
  </si>
  <si>
    <t>AC-PLGEO</t>
  </si>
  <si>
    <t>Spec6</t>
  </si>
  <si>
    <t>GRDE3033</t>
  </si>
  <si>
    <t>GEOG3002</t>
  </si>
  <si>
    <t>Spec7</t>
  </si>
  <si>
    <t>WORK3002</t>
  </si>
  <si>
    <t>BOTH</t>
  </si>
  <si>
    <t>Spec8</t>
  </si>
  <si>
    <t>BLDG2027</t>
  </si>
  <si>
    <t>Spec9</t>
  </si>
  <si>
    <t>BLAW3031</t>
  </si>
  <si>
    <t>Pre Req Issues</t>
  </si>
  <si>
    <t>Title</t>
  </si>
  <si>
    <t>Notes</t>
  </si>
  <si>
    <t>Please note this is a double subject</t>
  </si>
  <si>
    <t>--</t>
  </si>
  <si>
    <t>Not relevant to this study sequence</t>
  </si>
  <si>
    <t>Study either DIG39 or WBP300</t>
  </si>
  <si>
    <t>See below</t>
  </si>
  <si>
    <t>Study either CME103 or CME106</t>
  </si>
  <si>
    <t>Study either WBP300 or GPH320</t>
  </si>
  <si>
    <t>both</t>
  </si>
  <si>
    <t>and study BOTH</t>
  </si>
  <si>
    <t>BAS120</t>
  </si>
  <si>
    <t>Sustainability and Structures in Architecture</t>
  </si>
  <si>
    <t>Nil</t>
  </si>
  <si>
    <t>BAS115</t>
  </si>
  <si>
    <t>Architecture and Interior Architecture Methods 1A - Analogue Literacy</t>
  </si>
  <si>
    <t>BAS145</t>
  </si>
  <si>
    <t>Architecture and Interior Architecture Methods 1B - Digital Literacy</t>
  </si>
  <si>
    <t>BAS140</t>
  </si>
  <si>
    <t>Architecture and Interior Architecture Design Studio 1 - Small Structures</t>
  </si>
  <si>
    <t>BAS145*</t>
  </si>
  <si>
    <t>BAS150</t>
  </si>
  <si>
    <t>Architectural Science in Context</t>
  </si>
  <si>
    <t>BAS235</t>
  </si>
  <si>
    <t>Architecture Methods 2B - Information Visualisation (details coming)</t>
  </si>
  <si>
    <t>BAS115 + BAS140 + BAS145</t>
  </si>
  <si>
    <t>BAS200</t>
  </si>
  <si>
    <t>A&amp;IA Design Studio 2A - Residential Typology and Grammar (details coming)</t>
  </si>
  <si>
    <t>(BAS115 or BIA145) + (BAS140 or BIA110) + (BAS145 or BIA130 )</t>
  </si>
  <si>
    <t>BAS205</t>
  </si>
  <si>
    <t>Architecture Methods 2A - Digital Fabrication</t>
  </si>
  <si>
    <t>BAS310</t>
  </si>
  <si>
    <t>Environmental and Building Systems in Architecture (details coming)</t>
  </si>
  <si>
    <t>BAS235 or BAS240 or BIA240</t>
  </si>
  <si>
    <t>CME309</t>
  </si>
  <si>
    <t>Construction Contracts and Law</t>
  </si>
  <si>
    <t>CME101</t>
  </si>
  <si>
    <t>Low Rise Construction</t>
  </si>
  <si>
    <t>CME106</t>
  </si>
  <si>
    <t>High-rise Construction</t>
  </si>
  <si>
    <t>CME103</t>
  </si>
  <si>
    <t>Introduction to Management in Construction (*Recommended Unit)</t>
  </si>
  <si>
    <t>CME206</t>
  </si>
  <si>
    <t>Building Surveying</t>
  </si>
  <si>
    <t>APC100</t>
  </si>
  <si>
    <t>Academic and Professional Communications</t>
  </si>
  <si>
    <t>GPH320</t>
  </si>
  <si>
    <t>Urban Geographies</t>
  </si>
  <si>
    <t>DIG12</t>
  </si>
  <si>
    <t>Digital Design 1</t>
  </si>
  <si>
    <t>DIG10</t>
  </si>
  <si>
    <t>Game Design Introduction</t>
  </si>
  <si>
    <t>DIG22</t>
  </si>
  <si>
    <t>Web Design 1</t>
  </si>
  <si>
    <t>DIG11 or DIG12</t>
  </si>
  <si>
    <t>DIG24</t>
  </si>
  <si>
    <t>Web Design 2</t>
  </si>
  <si>
    <t>DIG230</t>
  </si>
  <si>
    <t>Introduction to 3D Modelling and Rendering</t>
  </si>
  <si>
    <t>DIG10 or DIG100</t>
  </si>
  <si>
    <t>DIG28</t>
  </si>
  <si>
    <t>Animation and Motion Graphics Design</t>
  </si>
  <si>
    <t>DSN200</t>
  </si>
  <si>
    <t>3D Modelling and Digital Fabrication</t>
  </si>
  <si>
    <t>DIG39</t>
  </si>
  <si>
    <t>Industry Project Development</t>
  </si>
  <si>
    <t>DIG31 or DIG371 or DIG38</t>
  </si>
  <si>
    <t>Pre Req - IA students cannot complete Pre Reqs.</t>
  </si>
  <si>
    <t>DIG21</t>
  </si>
  <si>
    <t>UX Design 2</t>
  </si>
  <si>
    <t>BIA140</t>
  </si>
  <si>
    <t>Interior Architecture Studio - Foundation</t>
  </si>
  <si>
    <t>BIA170</t>
  </si>
  <si>
    <t>History of the Interior</t>
  </si>
  <si>
    <t>BIA250</t>
  </si>
  <si>
    <t>Interior Architecture Studio – Community (details coming)</t>
  </si>
  <si>
    <t>BIA200</t>
  </si>
  <si>
    <t>Interior Architecture Fundamentals</t>
  </si>
  <si>
    <t>BAS145 or BIA130</t>
  </si>
  <si>
    <t>BIA280</t>
  </si>
  <si>
    <t>Philosophy and Practice</t>
  </si>
  <si>
    <t>BIA290</t>
  </si>
  <si>
    <t>Design Fabrication (details coming)</t>
  </si>
  <si>
    <t>BIA300</t>
  </si>
  <si>
    <t>Interior Architecture Studio - Well-being (details coming)</t>
  </si>
  <si>
    <t>BIA250 + (BAS200 or BIA260)</t>
  </si>
  <si>
    <t>BIA360</t>
  </si>
  <si>
    <t>Interior Architecture Studio - Workplace (details coming)</t>
  </si>
  <si>
    <t>BIA390</t>
  </si>
  <si>
    <t>Furniture Design (details coming)</t>
  </si>
  <si>
    <t>BIA305</t>
  </si>
  <si>
    <t>Interior Architecture Practice 1 (details coming)</t>
  </si>
  <si>
    <t>BIA315</t>
  </si>
  <si>
    <t>Interior Architecture Practice 2 (details coming)</t>
  </si>
  <si>
    <t>BIA415</t>
  </si>
  <si>
    <t>Adaptive Reuse and Heritage (details coming)</t>
  </si>
  <si>
    <t>BIA300 + BIA360</t>
  </si>
  <si>
    <t>BIA425</t>
  </si>
  <si>
    <t>Design for Indoor Comfort (details coming)</t>
  </si>
  <si>
    <t>BIA435</t>
  </si>
  <si>
    <t>Interior Lighting Design (details coming)</t>
  </si>
  <si>
    <t>BIA445</t>
  </si>
  <si>
    <t>Sustainable Future and the Built Environment (details coming)</t>
  </si>
  <si>
    <t>BIA455</t>
  </si>
  <si>
    <t>Interior Architecture Honours Proposal (details coming)</t>
  </si>
  <si>
    <t>BIA300 + BIA360 + (DBE300 or BIA380)</t>
  </si>
  <si>
    <t>BIA475</t>
  </si>
  <si>
    <t>Interior Architecture Honours Project (details coming)</t>
  </si>
  <si>
    <t>BIA455 or BIA410</t>
  </si>
  <si>
    <t>Study one Option unit from the list below</t>
  </si>
  <si>
    <t>GPH311</t>
  </si>
  <si>
    <t>Cultural Landscapes</t>
  </si>
  <si>
    <t>Study one subject from your chosen specialisation (see below)</t>
  </si>
  <si>
    <t>Specialisation</t>
  </si>
  <si>
    <t>Choose a Specialisation</t>
  </si>
  <si>
    <t>URP100</t>
  </si>
  <si>
    <t>Governance for Planning</t>
  </si>
  <si>
    <t>URP110</t>
  </si>
  <si>
    <t>Introduction to Planning</t>
  </si>
  <si>
    <t>DBE300</t>
  </si>
  <si>
    <t>Design and Built Environment Research Methods (details coming)</t>
  </si>
  <si>
    <t>WBP300</t>
  </si>
  <si>
    <t>Work Based Project (with approval)</t>
  </si>
  <si>
    <t>See OUA Website</t>
  </si>
  <si>
    <t>Effective:</t>
  </si>
  <si>
    <t>Downloaded:</t>
  </si>
  <si>
    <t>V</t>
  </si>
  <si>
    <t>CPs</t>
  </si>
  <si>
    <t>No.</t>
  </si>
  <si>
    <t>Component Type</t>
  </si>
  <si>
    <t>Year Level</t>
  </si>
  <si>
    <t>Study Package Code</t>
  </si>
  <si>
    <t>Structure Line</t>
  </si>
  <si>
    <t>Effective</t>
  </si>
  <si>
    <t>Discont.</t>
  </si>
  <si>
    <t>Column1</t>
  </si>
  <si>
    <t>Column2</t>
  </si>
  <si>
    <t>Core</t>
  </si>
  <si>
    <t>NA</t>
  </si>
  <si>
    <t>APC100 - Academic and Professional Communications</t>
  </si>
  <si>
    <t>BAS115 Architecture and Interior Architecture Methods 1A - Analogue Literacy</t>
  </si>
  <si>
    <t>BAS140 Architecture and Interior Architecture Design Studio 1 - Small Structures</t>
  </si>
  <si>
    <t>BAS145 Architecture and Interior Architecture Methods 1B - Digital Literacy</t>
  </si>
  <si>
    <t>BIA140 Interior Architecture Studio - Foundation</t>
  </si>
  <si>
    <t>BIA170 History of the Interior</t>
  </si>
  <si>
    <t>BAS200 Architecture and Interior Architecture Design Studio 2A - Residential Typology and Grammar</t>
  </si>
  <si>
    <t>BAS235 Architecture Methods 2B - Information Visualisation</t>
  </si>
  <si>
    <t>BIA200 Interior Architecture Fundamentals</t>
  </si>
  <si>
    <t>BIA250 Interior Architecture Studio – Community</t>
  </si>
  <si>
    <t>BIA280 Philosophy and Practice</t>
  </si>
  <si>
    <t>DSN200 3D Modelling and Digital Fabrication</t>
  </si>
  <si>
    <t>BAS310 Environmental and Building Systems in Architecture</t>
  </si>
  <si>
    <t>BIA290 Design Fabrication</t>
  </si>
  <si>
    <t>BIA300 Interior Architecture Studio - Well-being</t>
  </si>
  <si>
    <t>BIA305 Interior Architecture Practice 1</t>
  </si>
  <si>
    <t>BIA315 Interior Architecture Practice 2</t>
  </si>
  <si>
    <t>BIA360 Interior Architecture Studio - Workplace</t>
  </si>
  <si>
    <t>BIA390 Furniture Design</t>
  </si>
  <si>
    <t>DBE300 Design and Built Environment Research Methods</t>
  </si>
  <si>
    <t>BIA415 Adaptive Reuse and Heritage</t>
  </si>
  <si>
    <t>BIA425 Design for Indoor Comfort</t>
  </si>
  <si>
    <t>BIA435 Interior Lighting Design</t>
  </si>
  <si>
    <t>BIA445 Sustainable Future and the Built Environment</t>
  </si>
  <si>
    <t>BIA455 Interior Architecture Honours Proposal</t>
  </si>
  <si>
    <t>BIA475 Interior Architecture Honours Project</t>
  </si>
  <si>
    <t>AltCore</t>
  </si>
  <si>
    <t>DIG10 Game Design Introduction</t>
  </si>
  <si>
    <t>DIG230 Introduction to 3D Modelling and Rendering</t>
  </si>
  <si>
    <t>DIG28 Animation and Motion Graphics Design</t>
  </si>
  <si>
    <t>Choose GRDE3033 or WORK3002</t>
  </si>
  <si>
    <t>DIG39 Industry Project Development</t>
  </si>
  <si>
    <t>WBP300 Work Based Project</t>
  </si>
  <si>
    <t>Choose CME103 BLDG1009 or CME106 BLDG1006</t>
  </si>
  <si>
    <t>CME101 Low Rise Construction</t>
  </si>
  <si>
    <t>CME309 Construction Contracts and Law</t>
  </si>
  <si>
    <t>CME206 Building Surveying</t>
  </si>
  <si>
    <t>CME106 High-rise Construction</t>
  </si>
  <si>
    <t>CME103 Introduction to Management in Construction</t>
  </si>
  <si>
    <t>DIG12 Digital Design 1</t>
  </si>
  <si>
    <t>DIG21 UX Design 2</t>
  </si>
  <si>
    <t>DIG22 Web Design 1</t>
  </si>
  <si>
    <t>DIG24 Web Design 2</t>
  </si>
  <si>
    <t>URP110 Introduction to Planning</t>
  </si>
  <si>
    <t>URP100 Governance for Planning</t>
  </si>
  <si>
    <t>GPH311 Cultural Landscapes</t>
  </si>
  <si>
    <t>Choose WORK3002 or GEOG3002</t>
  </si>
  <si>
    <t>GPH320 Urban Geographies</t>
  </si>
  <si>
    <t>BAS120 Sustainability and Structures in Architecture</t>
  </si>
  <si>
    <t>BAS150 Architectural Science in Context</t>
  </si>
  <si>
    <t>BAS205 Architecture Methods 2A - Digital Fabrication</t>
  </si>
  <si>
    <t>Option</t>
  </si>
  <si>
    <t>Choose Option</t>
  </si>
  <si>
    <t/>
  </si>
  <si>
    <t>Count of Availability Available to Students Flag</t>
  </si>
  <si>
    <t>Row Labels</t>
  </si>
  <si>
    <t>OpenUnis SP 1</t>
  </si>
  <si>
    <t>OpenUnis SP 2</t>
  </si>
  <si>
    <t>OpenUnis SP 3</t>
  </si>
  <si>
    <t>OpenUnis SP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</si>
</sst>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6"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sz val="11"/>
      <color theme="0"/>
      <name val="Arial"/>
      <family val="2"/>
    </font>
    <font>
      <b/>
      <sz val="11"/>
      <color theme="0"/>
      <name val="Segoe UI"/>
      <family val="2"/>
    </font>
    <font>
      <b/>
      <sz val="11"/>
      <color rgb="FFFF0000"/>
      <name val="Segoe UI"/>
      <family val="2"/>
    </font>
    <font>
      <b/>
      <sz val="9"/>
      <name val="Segoe UI"/>
      <family val="2"/>
    </font>
    <font>
      <b/>
      <i/>
      <sz val="12"/>
      <color rgb="FFC00000"/>
      <name val="Calibri"/>
      <family val="2"/>
      <scheme val="minor"/>
    </font>
    <font>
      <sz val="12"/>
      <name val="Calibri"/>
      <family val="2"/>
      <scheme val="minor"/>
    </font>
    <font>
      <i/>
      <sz val="10"/>
      <color theme="0" tint="-0.34998626667073579"/>
      <name val="Arial"/>
      <family val="2"/>
    </font>
    <font>
      <b/>
      <sz val="10"/>
      <color theme="0"/>
      <name val="Segoe UI"/>
      <family val="2"/>
    </font>
    <font>
      <b/>
      <sz val="8"/>
      <color rgb="FFFF0000"/>
      <name val="Arial"/>
      <family val="2"/>
    </font>
    <font>
      <b/>
      <i/>
      <sz val="12"/>
      <color theme="0"/>
      <name val="Segoe UI"/>
      <family val="2"/>
    </font>
    <font>
      <sz val="8"/>
      <color theme="0" tint="-0.34998626667073579"/>
      <name val="Arial"/>
      <family val="2"/>
    </font>
    <font>
      <b/>
      <sz val="16"/>
      <color theme="1"/>
      <name val="Segoe UI"/>
      <family val="2"/>
    </font>
    <font>
      <i/>
      <sz val="9"/>
      <color theme="1"/>
      <name val="Segoe UI"/>
      <family val="2"/>
    </font>
    <font>
      <i/>
      <sz val="8"/>
      <color theme="1"/>
      <name val="Segoe UI"/>
      <family val="2"/>
    </font>
    <font>
      <b/>
      <i/>
      <sz val="10"/>
      <color theme="0" tint="-0.34998626667073579"/>
      <name val="Arial"/>
      <family val="2"/>
    </font>
    <font>
      <sz val="9"/>
      <color rgb="FFFF0000"/>
      <name val="Segoe UI"/>
      <family val="2"/>
    </font>
    <font>
      <b/>
      <sz val="9"/>
      <color rgb="FFFF0000"/>
      <name val="Segoe UI"/>
      <family val="2"/>
    </font>
    <font>
      <sz val="12"/>
      <color rgb="FFFF0000"/>
      <name val="Calibri"/>
      <family val="2"/>
      <scheme val="minor"/>
    </font>
    <font>
      <b/>
      <sz val="10"/>
      <name val="Segoe UI"/>
      <family val="2"/>
    </font>
    <font>
      <i/>
      <sz val="8"/>
      <color theme="0" tint="-0.34998626667073579"/>
      <name val="Arial"/>
      <family val="2"/>
    </font>
    <font>
      <b/>
      <sz val="8"/>
      <name val="Arial"/>
      <family val="2"/>
    </font>
    <font>
      <b/>
      <sz val="11"/>
      <name val="Segoe UI"/>
      <family val="2"/>
    </font>
    <font>
      <b/>
      <sz val="12"/>
      <name val="Calibri"/>
      <family val="2"/>
      <scheme val="minor"/>
    </font>
    <font>
      <sz val="12"/>
      <color rgb="FF00B050"/>
      <name val="Calibri"/>
      <family val="2"/>
      <scheme val="minor"/>
    </font>
    <font>
      <sz val="10"/>
      <color theme="1"/>
      <name val="Arial"/>
      <family val="2"/>
    </font>
    <font>
      <sz val="10"/>
      <color rgb="FF000000"/>
      <name val="Arial"/>
      <family val="2"/>
    </font>
    <font>
      <b/>
      <sz val="11"/>
      <color theme="8"/>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F2F2F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rgb="FFFFFF00"/>
        <bgColor indexed="64"/>
      </patternFill>
    </fill>
    <fill>
      <patternFill patternType="solid">
        <fgColor rgb="FFFFC000"/>
        <bgColor indexed="64"/>
      </patternFill>
    </fill>
    <fill>
      <patternFill patternType="solid">
        <fgColor theme="8"/>
        <bgColor indexed="64"/>
      </patternFill>
    </fill>
    <fill>
      <patternFill patternType="solid">
        <fgColor theme="0" tint="-0.34998626667073579"/>
        <bgColor indexed="64"/>
      </patternFill>
    </fill>
    <fill>
      <patternFill patternType="solid">
        <fgColor rgb="FF92D050"/>
        <bgColor indexed="64"/>
      </patternFill>
    </fill>
    <fill>
      <patternFill patternType="solid">
        <fgColor theme="9" tint="0.79998168889431442"/>
        <bgColor theme="9" tint="0.79998168889431442"/>
      </patternFill>
    </fill>
    <fill>
      <patternFill patternType="solid">
        <fgColor theme="0" tint="-0.14999847407452621"/>
        <bgColor indexed="64"/>
      </patternFill>
    </fill>
    <fill>
      <patternFill patternType="solid">
        <fgColor theme="7" tint="0.79998168889431442"/>
        <bgColor indexed="64"/>
      </patternFill>
    </fill>
  </fills>
  <borders count="4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style="thin">
        <color theme="0" tint="-0.14990691854609822"/>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right style="double">
        <color auto="1"/>
      </right>
      <top/>
      <bottom/>
      <diagonal/>
    </border>
    <border>
      <left/>
      <right style="thin">
        <color theme="0" tint="-0.14990691854609822"/>
      </right>
      <top/>
      <bottom style="thin">
        <color theme="0" tint="-0.14993743705557422"/>
      </bottom>
      <diagonal/>
    </border>
    <border>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theme="0" tint="-0.24994659260841701"/>
      </right>
      <top style="thin">
        <color indexed="64"/>
      </top>
      <bottom/>
      <diagonal/>
    </border>
    <border>
      <left style="thin">
        <color theme="0" tint="-0.24994659260841701"/>
      </left>
      <right style="medium">
        <color indexed="64"/>
      </right>
      <top style="thin">
        <color indexed="64"/>
      </top>
      <bottom/>
      <diagonal/>
    </border>
    <border>
      <left style="medium">
        <color indexed="64"/>
      </left>
      <right style="thin">
        <color theme="0" tint="-0.24994659260841701"/>
      </right>
      <top/>
      <bottom/>
      <diagonal/>
    </border>
    <border>
      <left style="thin">
        <color theme="0" tint="-0.24994659260841701"/>
      </left>
      <right style="medium">
        <color indexed="64"/>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s>
  <cellStyleXfs count="3">
    <xf numFmtId="0" fontId="0" fillId="0" borderId="0"/>
    <xf numFmtId="0" fontId="1" fillId="0" borderId="0"/>
    <xf numFmtId="0" fontId="27" fillId="0" borderId="0" applyNumberFormat="0" applyFill="0" applyBorder="0" applyAlignment="0" applyProtection="0"/>
  </cellStyleXfs>
  <cellXfs count="381">
    <xf numFmtId="0" fontId="0" fillId="0" borderId="0" xfId="0"/>
    <xf numFmtId="0" fontId="3"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applyAlignment="1">
      <alignment horizontal="center"/>
    </xf>
    <xf numFmtId="0" fontId="9" fillId="0" borderId="0" xfId="0" applyFont="1"/>
    <xf numFmtId="0" fontId="5" fillId="0" borderId="0" xfId="0" applyFont="1" applyAlignment="1">
      <alignment horizontal="right"/>
    </xf>
    <xf numFmtId="0" fontId="6" fillId="0" borderId="0" xfId="0" applyFont="1" applyAlignment="1">
      <alignment horizontal="right"/>
    </xf>
    <xf numFmtId="0" fontId="9"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11" fillId="0" borderId="0" xfId="0" applyFont="1"/>
    <xf numFmtId="0" fontId="14" fillId="0" borderId="0" xfId="0" applyFont="1"/>
    <xf numFmtId="0" fontId="12" fillId="0" borderId="0" xfId="0" applyFont="1"/>
    <xf numFmtId="0" fontId="10" fillId="0" borderId="0" xfId="0" applyFont="1" applyAlignment="1">
      <alignment horizontal="center" vertical="center"/>
    </xf>
    <xf numFmtId="0" fontId="5" fillId="4" borderId="0" xfId="0" applyFont="1" applyFill="1"/>
    <xf numFmtId="0" fontId="5" fillId="4" borderId="0" xfId="0" applyFont="1" applyFill="1" applyAlignment="1">
      <alignment horizontal="center"/>
    </xf>
    <xf numFmtId="0" fontId="15" fillId="0" borderId="0" xfId="0" applyFont="1"/>
    <xf numFmtId="0" fontId="4" fillId="0" borderId="5" xfId="0" applyFont="1" applyBorder="1" applyAlignment="1">
      <alignment horizontal="center" vertical="center"/>
    </xf>
    <xf numFmtId="0" fontId="5" fillId="4" borderId="0" xfId="0" applyFont="1" applyFill="1" applyAlignment="1">
      <alignment horizontal="left"/>
    </xf>
    <xf numFmtId="0" fontId="5" fillId="4" borderId="8" xfId="0" applyFont="1" applyFill="1" applyBorder="1" applyAlignment="1">
      <alignment horizontal="center"/>
    </xf>
    <xf numFmtId="0" fontId="5" fillId="4" borderId="7" xfId="0" applyFont="1" applyFill="1" applyBorder="1" applyAlignment="1">
      <alignment horizontal="left"/>
    </xf>
    <xf numFmtId="0" fontId="17" fillId="0" borderId="12" xfId="1" applyFont="1" applyBorder="1" applyAlignment="1">
      <alignment horizontal="center"/>
    </xf>
    <xf numFmtId="0" fontId="17" fillId="0" borderId="13" xfId="1" applyFont="1" applyBorder="1" applyAlignment="1">
      <alignment horizontal="center"/>
    </xf>
    <xf numFmtId="0" fontId="17" fillId="0" borderId="13" xfId="1" applyFont="1" applyBorder="1"/>
    <xf numFmtId="0" fontId="17" fillId="0" borderId="14" xfId="1" applyFont="1" applyBorder="1"/>
    <xf numFmtId="0" fontId="1" fillId="0" borderId="0" xfId="1"/>
    <xf numFmtId="0" fontId="1" fillId="0" borderId="0" xfId="1" applyAlignment="1">
      <alignment horizontal="center"/>
    </xf>
    <xf numFmtId="0" fontId="1" fillId="0" borderId="0" xfId="1" applyProtection="1">
      <protection locked="0"/>
    </xf>
    <xf numFmtId="0" fontId="24" fillId="2" borderId="0" xfId="1" applyFont="1" applyFill="1" applyAlignment="1" applyProtection="1">
      <alignment vertical="center"/>
      <protection locked="0"/>
    </xf>
    <xf numFmtId="0" fontId="24" fillId="2" borderId="0" xfId="1" applyFont="1" applyFill="1" applyAlignment="1">
      <alignment vertical="center"/>
    </xf>
    <xf numFmtId="0" fontId="24" fillId="2" borderId="0" xfId="1" applyFont="1" applyFill="1" applyAlignment="1" applyProtection="1">
      <alignment wrapText="1"/>
      <protection locked="0"/>
    </xf>
    <xf numFmtId="0" fontId="24" fillId="2" borderId="0" xfId="1" applyFont="1" applyFill="1" applyAlignment="1">
      <alignment wrapText="1"/>
    </xf>
    <xf numFmtId="0" fontId="24" fillId="2" borderId="0" xfId="1" applyFont="1" applyFill="1" applyProtection="1">
      <protection locked="0"/>
    </xf>
    <xf numFmtId="0" fontId="24" fillId="2" borderId="0" xfId="1" applyFont="1" applyFill="1"/>
    <xf numFmtId="0" fontId="31" fillId="2" borderId="0" xfId="1" applyFont="1" applyFill="1" applyProtection="1">
      <protection locked="0"/>
    </xf>
    <xf numFmtId="0" fontId="31" fillId="2" borderId="0" xfId="1" applyFont="1" applyFill="1"/>
    <xf numFmtId="0" fontId="11" fillId="2" borderId="0" xfId="1" applyFont="1" applyFill="1" applyProtection="1">
      <protection locked="0"/>
    </xf>
    <xf numFmtId="0" fontId="11" fillId="2" borderId="0" xfId="1" applyFont="1" applyFill="1"/>
    <xf numFmtId="0" fontId="1" fillId="0" borderId="0" xfId="1" applyAlignment="1" applyProtection="1">
      <alignment horizontal="center" vertical="top"/>
      <protection locked="0"/>
    </xf>
    <xf numFmtId="0" fontId="1" fillId="0" borderId="0" xfId="1" applyAlignment="1">
      <alignment horizontal="center" vertical="top"/>
    </xf>
    <xf numFmtId="0" fontId="17" fillId="0" borderId="0" xfId="0" applyFont="1" applyAlignment="1">
      <alignment horizont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16" fillId="0" borderId="0" xfId="0" applyFont="1"/>
    <xf numFmtId="0" fontId="0" fillId="0" borderId="5" xfId="0" applyBorder="1"/>
    <xf numFmtId="0" fontId="2" fillId="3" borderId="1" xfId="0" applyFont="1" applyFill="1" applyBorder="1" applyAlignment="1">
      <alignment horizontal="right" vertical="center"/>
    </xf>
    <xf numFmtId="0" fontId="21" fillId="2" borderId="22" xfId="1" applyFont="1" applyFill="1" applyBorder="1" applyAlignment="1" applyProtection="1">
      <alignment horizontal="left" vertical="center" wrapText="1"/>
      <protection locked="0"/>
    </xf>
    <xf numFmtId="0" fontId="5" fillId="4" borderId="11" xfId="0" applyFont="1" applyFill="1" applyBorder="1" applyAlignment="1">
      <alignment horizontal="left"/>
    </xf>
    <xf numFmtId="0" fontId="5" fillId="4" borderId="1" xfId="0" applyFont="1" applyFill="1" applyBorder="1" applyAlignment="1">
      <alignment horizontal="left"/>
    </xf>
    <xf numFmtId="0" fontId="5" fillId="4" borderId="3" xfId="0" applyFont="1" applyFill="1" applyBorder="1" applyAlignment="1">
      <alignment horizontal="left"/>
    </xf>
    <xf numFmtId="0" fontId="5" fillId="4" borderId="2" xfId="0" applyFont="1" applyFill="1" applyBorder="1" applyAlignment="1">
      <alignment horizontal="left"/>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43" fillId="0" borderId="0" xfId="0" applyFont="1"/>
    <xf numFmtId="0" fontId="43" fillId="0" borderId="0" xfId="0" applyFont="1" applyAlignment="1">
      <alignment horizontal="right"/>
    </xf>
    <xf numFmtId="14" fontId="43" fillId="0" borderId="0" xfId="0" applyNumberFormat="1" applyFont="1"/>
    <xf numFmtId="0" fontId="43" fillId="0" borderId="0" xfId="0" applyFont="1" applyAlignment="1">
      <alignment horizontal="center"/>
    </xf>
    <xf numFmtId="0" fontId="0" fillId="0" borderId="26" xfId="0" applyBorder="1" applyAlignment="1">
      <alignment horizontal="center"/>
    </xf>
    <xf numFmtId="0" fontId="9" fillId="0" borderId="0" xfId="0" applyFont="1" applyAlignment="1">
      <alignment horizontal="center"/>
    </xf>
    <xf numFmtId="0" fontId="3" fillId="0" borderId="9" xfId="0" applyFont="1" applyBorder="1" applyAlignment="1">
      <alignment horizontal="center" vertical="center"/>
    </xf>
    <xf numFmtId="0" fontId="4" fillId="0" borderId="9" xfId="0" applyFont="1" applyBorder="1" applyAlignment="1">
      <alignment horizontal="center" vertical="center"/>
    </xf>
    <xf numFmtId="0" fontId="2" fillId="3" borderId="4" xfId="0" applyFont="1" applyFill="1" applyBorder="1" applyAlignment="1">
      <alignment horizontal="right" vertical="center"/>
    </xf>
    <xf numFmtId="0" fontId="2" fillId="3" borderId="6" xfId="0" applyFont="1" applyFill="1" applyBorder="1" applyAlignment="1">
      <alignment horizontal="right"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5" fillId="4" borderId="11" xfId="0" applyFont="1" applyFill="1" applyBorder="1" applyAlignment="1">
      <alignment horizontal="left" textRotation="90"/>
    </xf>
    <xf numFmtId="0" fontId="9" fillId="5" borderId="28" xfId="0" applyFont="1" applyFill="1" applyBorder="1" applyAlignment="1">
      <alignment horizontal="center"/>
    </xf>
    <xf numFmtId="0" fontId="9" fillId="5" borderId="29" xfId="0" applyFont="1" applyFill="1" applyBorder="1" applyAlignment="1">
      <alignment horizontal="center"/>
    </xf>
    <xf numFmtId="0" fontId="4" fillId="7" borderId="0" xfId="0" applyFont="1" applyFill="1" applyAlignment="1">
      <alignment horizontal="center" vertical="center"/>
    </xf>
    <xf numFmtId="0" fontId="9" fillId="6" borderId="0" xfId="0" applyFont="1" applyFill="1" applyAlignment="1">
      <alignment wrapText="1"/>
    </xf>
    <xf numFmtId="0" fontId="44" fillId="0" borderId="0" xfId="0" applyFont="1"/>
    <xf numFmtId="0" fontId="9" fillId="5" borderId="30" xfId="0" applyFont="1" applyFill="1" applyBorder="1" applyAlignment="1">
      <alignment horizontal="center"/>
    </xf>
    <xf numFmtId="0" fontId="9" fillId="5" borderId="31" xfId="0" applyFont="1" applyFill="1" applyBorder="1" applyAlignment="1">
      <alignment horizontal="center"/>
    </xf>
    <xf numFmtId="0" fontId="45" fillId="0" borderId="0" xfId="0" applyFont="1" applyAlignment="1">
      <alignment horizontal="right"/>
    </xf>
    <xf numFmtId="0" fontId="9" fillId="5" borderId="4" xfId="0" applyFont="1" applyFill="1" applyBorder="1" applyAlignment="1">
      <alignment horizontal="center"/>
    </xf>
    <xf numFmtId="0" fontId="9" fillId="5" borderId="5" xfId="0" applyFont="1" applyFill="1" applyBorder="1" applyAlignment="1">
      <alignment horizontal="center"/>
    </xf>
    <xf numFmtId="0" fontId="6" fillId="5" borderId="5" xfId="0" applyFont="1" applyFill="1" applyBorder="1" applyAlignment="1">
      <alignment horizontal="center"/>
    </xf>
    <xf numFmtId="0" fontId="9" fillId="5" borderId="6" xfId="0" applyFont="1" applyFill="1" applyBorder="1" applyAlignment="1">
      <alignment horizont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8" fillId="8" borderId="0" xfId="0" applyFont="1" applyFill="1" applyAlignment="1">
      <alignment horizontal="center" vertical="center"/>
    </xf>
    <xf numFmtId="0" fontId="8" fillId="0" borderId="0" xfId="0" applyFont="1" applyAlignment="1">
      <alignment horizontal="center" vertical="center"/>
    </xf>
    <xf numFmtId="0" fontId="4" fillId="9" borderId="8" xfId="0" applyFont="1" applyFill="1" applyBorder="1" applyAlignment="1">
      <alignment horizontal="center" vertical="center"/>
    </xf>
    <xf numFmtId="0" fontId="49" fillId="0" borderId="6" xfId="0" applyFont="1" applyBorder="1" applyAlignment="1">
      <alignment horizontal="center" vertical="center"/>
    </xf>
    <xf numFmtId="0" fontId="49" fillId="0" borderId="8" xfId="0" applyFont="1" applyBorder="1" applyAlignment="1">
      <alignment horizontal="center" vertical="center"/>
    </xf>
    <xf numFmtId="0" fontId="28" fillId="11" borderId="0" xfId="2" applyFont="1" applyFill="1" applyAlignment="1" applyProtection="1">
      <alignment vertical="center"/>
    </xf>
    <xf numFmtId="0" fontId="27" fillId="11" borderId="0" xfId="2" applyFill="1" applyAlignment="1" applyProtection="1">
      <alignment vertical="center"/>
    </xf>
    <xf numFmtId="0" fontId="27" fillId="11" borderId="0" xfId="2" applyFill="1" applyAlignment="1" applyProtection="1">
      <alignment horizontal="center" vertical="center"/>
    </xf>
    <xf numFmtId="0" fontId="42" fillId="5" borderId="0" xfId="1" applyFont="1" applyFill="1" applyAlignment="1" applyProtection="1">
      <alignment vertical="center"/>
      <protection locked="0"/>
    </xf>
    <xf numFmtId="0" fontId="19" fillId="2" borderId="0" xfId="1" applyFont="1" applyFill="1" applyAlignment="1" applyProtection="1">
      <alignment vertical="center"/>
      <protection locked="0"/>
    </xf>
    <xf numFmtId="0" fontId="21" fillId="0" borderId="22" xfId="1" applyFont="1" applyBorder="1" applyAlignment="1" applyProtection="1">
      <alignment horizontal="left" vertical="center" wrapText="1"/>
      <protection locked="0"/>
    </xf>
    <xf numFmtId="0" fontId="38" fillId="10" borderId="0" xfId="1" applyFont="1" applyFill="1" applyAlignment="1">
      <alignment vertical="center" wrapText="1"/>
    </xf>
    <xf numFmtId="0" fontId="19" fillId="2" borderId="0" xfId="1" applyFont="1" applyFill="1" applyAlignment="1">
      <alignment horizontal="right" vertical="center" indent="1"/>
    </xf>
    <xf numFmtId="0" fontId="21" fillId="2" borderId="0" xfId="1" applyFont="1" applyFill="1" applyAlignment="1">
      <alignment horizontal="right" vertical="center" indent="1"/>
    </xf>
    <xf numFmtId="0" fontId="19" fillId="2" borderId="0" xfId="1" applyFont="1" applyFill="1" applyAlignment="1">
      <alignment vertical="center"/>
    </xf>
    <xf numFmtId="0" fontId="19" fillId="2" borderId="0" xfId="1" applyFont="1" applyFill="1" applyAlignment="1">
      <alignment horizontal="left" vertical="center"/>
    </xf>
    <xf numFmtId="0" fontId="19" fillId="2" borderId="0" xfId="1" applyFont="1" applyFill="1" applyAlignment="1">
      <alignment horizontal="left" vertical="center" indent="1"/>
    </xf>
    <xf numFmtId="0" fontId="21" fillId="2" borderId="0" xfId="1" applyFont="1" applyFill="1" applyAlignment="1">
      <alignment horizontal="left" vertical="center" wrapText="1"/>
    </xf>
    <xf numFmtId="0" fontId="21" fillId="0" borderId="0" xfId="1" applyFont="1" applyAlignment="1">
      <alignment vertical="top" wrapText="1"/>
    </xf>
    <xf numFmtId="0" fontId="22" fillId="10" borderId="0" xfId="1" applyFont="1" applyFill="1" applyAlignment="1">
      <alignment horizontal="center" vertical="center"/>
    </xf>
    <xf numFmtId="0" fontId="22" fillId="10" borderId="0" xfId="1" applyFont="1" applyFill="1" applyAlignment="1">
      <alignment horizontal="left" vertical="center" indent="1"/>
    </xf>
    <xf numFmtId="0" fontId="22" fillId="10" borderId="0" xfId="1" applyFont="1" applyFill="1" applyAlignment="1">
      <alignment vertical="center"/>
    </xf>
    <xf numFmtId="0" fontId="22" fillId="10" borderId="23" xfId="1" applyFont="1" applyFill="1" applyBorder="1" applyAlignment="1">
      <alignment horizontal="left" vertical="center"/>
    </xf>
    <xf numFmtId="0" fontId="22" fillId="10" borderId="0" xfId="1" applyFont="1" applyFill="1" applyAlignment="1">
      <alignment horizontal="left" vertical="center"/>
    </xf>
    <xf numFmtId="0" fontId="22" fillId="10" borderId="19" xfId="1" applyFont="1" applyFill="1" applyBorder="1" applyAlignment="1">
      <alignment horizontal="left" vertical="center"/>
    </xf>
    <xf numFmtId="0" fontId="23" fillId="2" borderId="0" xfId="1" applyFont="1" applyFill="1" applyAlignment="1">
      <alignment vertical="center"/>
    </xf>
    <xf numFmtId="0" fontId="22" fillId="10" borderId="0" xfId="1" applyFont="1" applyFill="1" applyAlignment="1">
      <alignment horizontal="center" vertical="center" wrapText="1"/>
    </xf>
    <xf numFmtId="0" fontId="22" fillId="10" borderId="23" xfId="1" applyFont="1" applyFill="1" applyBorder="1" applyAlignment="1">
      <alignment horizontal="center" vertical="center" wrapText="1"/>
    </xf>
    <xf numFmtId="0" fontId="22" fillId="10" borderId="19" xfId="1" applyFont="1" applyFill="1" applyBorder="1" applyAlignment="1">
      <alignment horizontal="center" vertical="center" wrapText="1"/>
    </xf>
    <xf numFmtId="0" fontId="21" fillId="2" borderId="20" xfId="1" applyFont="1" applyFill="1" applyBorder="1" applyAlignment="1">
      <alignment horizontal="center" vertical="center" wrapText="1"/>
    </xf>
    <xf numFmtId="0" fontId="21" fillId="2" borderId="21" xfId="1" applyFont="1" applyFill="1" applyBorder="1" applyAlignment="1">
      <alignment horizontal="center" vertical="center" wrapText="1"/>
    </xf>
    <xf numFmtId="0" fontId="21" fillId="2" borderId="21" xfId="1" applyFont="1" applyFill="1" applyBorder="1" applyAlignment="1">
      <alignment vertical="center" wrapText="1"/>
    </xf>
    <xf numFmtId="0" fontId="24" fillId="2" borderId="21" xfId="1" applyFont="1" applyFill="1" applyBorder="1" applyAlignment="1">
      <alignment horizontal="center" vertical="center" wrapText="1"/>
    </xf>
    <xf numFmtId="0" fontId="21" fillId="2" borderId="24" xfId="1" applyFont="1" applyFill="1" applyBorder="1" applyAlignment="1">
      <alignment horizontal="center" vertical="center" wrapText="1"/>
    </xf>
    <xf numFmtId="0" fontId="21" fillId="2" borderId="25" xfId="1" applyFont="1" applyFill="1" applyBorder="1" applyAlignment="1">
      <alignment horizontal="center" vertical="center" wrapText="1"/>
    </xf>
    <xf numFmtId="0" fontId="25" fillId="0" borderId="0" xfId="1" applyFont="1" applyAlignment="1">
      <alignment horizontal="left" vertical="top" wrapText="1"/>
    </xf>
    <xf numFmtId="0" fontId="23" fillId="2" borderId="0" xfId="1" applyFont="1" applyFill="1" applyAlignment="1">
      <alignment wrapText="1"/>
    </xf>
    <xf numFmtId="0" fontId="21" fillId="0" borderId="21" xfId="1" applyFont="1" applyBorder="1" applyAlignment="1">
      <alignment horizontal="center" vertical="center" wrapText="1"/>
    </xf>
    <xf numFmtId="0" fontId="21" fillId="0" borderId="24" xfId="1" applyFont="1" applyBorder="1" applyAlignment="1">
      <alignment horizontal="center" vertical="center" wrapText="1"/>
    </xf>
    <xf numFmtId="0" fontId="21" fillId="0" borderId="25" xfId="1" applyFont="1" applyBorder="1" applyAlignment="1">
      <alignment horizontal="center" vertical="center" wrapText="1"/>
    </xf>
    <xf numFmtId="0" fontId="23" fillId="2" borderId="0" xfId="1" applyFont="1" applyFill="1"/>
    <xf numFmtId="0" fontId="51" fillId="2" borderId="20" xfId="1" applyFont="1" applyFill="1" applyBorder="1" applyAlignment="1">
      <alignment horizontal="center" vertical="center" wrapText="1"/>
    </xf>
    <xf numFmtId="0" fontId="51" fillId="0" borderId="21" xfId="1" applyFont="1" applyBorder="1" applyAlignment="1">
      <alignment horizontal="center" vertical="center" wrapText="1"/>
    </xf>
    <xf numFmtId="0" fontId="51" fillId="0" borderId="21" xfId="1" applyFont="1" applyBorder="1" applyAlignment="1">
      <alignment vertical="center" wrapText="1"/>
    </xf>
    <xf numFmtId="0" fontId="52" fillId="2" borderId="21" xfId="1" applyFont="1" applyFill="1" applyBorder="1" applyAlignment="1">
      <alignment horizontal="center" vertical="center" wrapText="1"/>
    </xf>
    <xf numFmtId="0" fontId="51" fillId="2" borderId="21" xfId="1" applyFont="1" applyFill="1" applyBorder="1" applyAlignment="1">
      <alignment horizontal="center" vertical="center" wrapText="1"/>
    </xf>
    <xf numFmtId="0" fontId="51" fillId="0" borderId="21" xfId="1" applyFont="1" applyBorder="1" applyAlignment="1">
      <alignment horizontal="left" vertical="center"/>
    </xf>
    <xf numFmtId="0" fontId="32" fillId="2" borderId="0" xfId="1" applyFont="1" applyFill="1" applyAlignment="1">
      <alignment horizontal="left" vertical="center" wrapText="1"/>
    </xf>
    <xf numFmtId="0" fontId="33" fillId="2" borderId="0" xfId="1" applyFont="1" applyFill="1" applyAlignment="1">
      <alignment horizontal="left" vertical="center" wrapText="1"/>
    </xf>
    <xf numFmtId="0" fontId="33" fillId="2" borderId="0" xfId="1" applyFont="1" applyFill="1" applyAlignment="1">
      <alignment horizontal="center" vertical="center" wrapText="1"/>
    </xf>
    <xf numFmtId="0" fontId="34" fillId="2" borderId="0" xfId="1" applyFont="1" applyFill="1" applyAlignment="1">
      <alignment vertical="center"/>
    </xf>
    <xf numFmtId="0" fontId="35" fillId="2" borderId="0" xfId="1" applyFont="1" applyFill="1"/>
    <xf numFmtId="0" fontId="48" fillId="10" borderId="0" xfId="1" applyFont="1" applyFill="1" applyAlignment="1">
      <alignment horizontal="left" vertical="center" readingOrder="1"/>
    </xf>
    <xf numFmtId="0" fontId="37" fillId="10" borderId="0" xfId="1" applyFont="1" applyFill="1" applyAlignment="1">
      <alignment horizontal="left" vertical="center" readingOrder="1"/>
    </xf>
    <xf numFmtId="0" fontId="20" fillId="10" borderId="0" xfId="1" applyFont="1" applyFill="1" applyAlignment="1">
      <alignment horizontal="left" vertical="center" readingOrder="1"/>
    </xf>
    <xf numFmtId="0" fontId="40" fillId="10" borderId="0" xfId="1" applyFont="1" applyFill="1" applyAlignment="1">
      <alignment horizontal="center" vertical="center"/>
    </xf>
    <xf numFmtId="0" fontId="40" fillId="10" borderId="0" xfId="1" applyFont="1" applyFill="1" applyAlignment="1">
      <alignment horizontal="center" vertical="center" readingOrder="1"/>
    </xf>
    <xf numFmtId="0" fontId="22" fillId="10" borderId="23" xfId="1" applyFont="1" applyFill="1" applyBorder="1" applyAlignment="1">
      <alignment vertical="center" readingOrder="1"/>
    </xf>
    <xf numFmtId="0" fontId="22" fillId="10" borderId="0" xfId="1" applyFont="1" applyFill="1" applyAlignment="1">
      <alignment vertical="center" readingOrder="1"/>
    </xf>
    <xf numFmtId="0" fontId="40" fillId="10" borderId="0" xfId="1" applyFont="1" applyFill="1" applyAlignment="1">
      <alignment vertical="center" readingOrder="1"/>
    </xf>
    <xf numFmtId="0" fontId="40" fillId="10" borderId="19" xfId="1" applyFont="1" applyFill="1" applyBorder="1" applyAlignment="1">
      <alignment vertical="center" readingOrder="1"/>
    </xf>
    <xf numFmtId="0" fontId="46" fillId="10" borderId="0" xfId="1" applyFont="1" applyFill="1" applyAlignment="1">
      <alignment horizontal="left" vertical="center" indent="1"/>
    </xf>
    <xf numFmtId="0" fontId="37" fillId="10" borderId="0" xfId="1" applyFont="1" applyFill="1" applyAlignment="1">
      <alignment horizontal="left" vertical="top" indent="1"/>
    </xf>
    <xf numFmtId="0" fontId="37" fillId="10" borderId="0" xfId="1" applyFont="1" applyFill="1" applyAlignment="1">
      <alignment horizontal="center" vertical="top"/>
    </xf>
    <xf numFmtId="0" fontId="22" fillId="10" borderId="23" xfId="1" applyFont="1" applyFill="1" applyBorder="1" applyAlignment="1">
      <alignment horizontal="center" vertical="top" wrapText="1"/>
    </xf>
    <xf numFmtId="0" fontId="22" fillId="10" borderId="0" xfId="1" applyFont="1" applyFill="1" applyAlignment="1">
      <alignment horizontal="center" vertical="top" wrapText="1"/>
    </xf>
    <xf numFmtId="0" fontId="22" fillId="10" borderId="27" xfId="1" applyFont="1" applyFill="1" applyBorder="1" applyAlignment="1">
      <alignment horizontal="center" vertical="top" wrapText="1"/>
    </xf>
    <xf numFmtId="0" fontId="36" fillId="0" borderId="21" xfId="1" applyFont="1" applyBorder="1" applyAlignment="1">
      <alignment vertical="center"/>
    </xf>
    <xf numFmtId="0" fontId="36" fillId="0" borderId="21" xfId="1" applyFont="1" applyBorder="1" applyAlignment="1">
      <alignment horizontal="center" vertical="center" wrapText="1"/>
    </xf>
    <xf numFmtId="0" fontId="21" fillId="2" borderId="24" xfId="1" applyFont="1" applyFill="1" applyBorder="1" applyAlignment="1">
      <alignment horizontal="center" vertical="center"/>
    </xf>
    <xf numFmtId="0" fontId="21" fillId="2" borderId="21" xfId="1" applyFont="1" applyFill="1" applyBorder="1" applyAlignment="1">
      <alignment horizontal="center" vertical="center"/>
    </xf>
    <xf numFmtId="0" fontId="21" fillId="2" borderId="25" xfId="1" applyFont="1" applyFill="1" applyBorder="1" applyAlignment="1">
      <alignment horizontal="center" vertical="center"/>
    </xf>
    <xf numFmtId="0" fontId="30" fillId="2" borderId="0" xfId="1" applyFont="1" applyFill="1"/>
    <xf numFmtId="0" fontId="32" fillId="2" borderId="0" xfId="1" applyFont="1" applyFill="1" applyAlignment="1">
      <alignment vertical="center"/>
    </xf>
    <xf numFmtId="0" fontId="11" fillId="2" borderId="0" xfId="1" applyFont="1" applyFill="1" applyAlignment="1">
      <alignment vertical="center"/>
    </xf>
    <xf numFmtId="0" fontId="34" fillId="2" borderId="0" xfId="1" applyFont="1" applyFill="1" applyAlignment="1">
      <alignment horizontal="right" vertical="center"/>
    </xf>
    <xf numFmtId="0" fontId="0" fillId="0" borderId="0" xfId="0" applyAlignment="1">
      <alignment horizontal="left" textRotation="90"/>
    </xf>
    <xf numFmtId="0" fontId="43" fillId="0" borderId="0" xfId="0" applyFont="1" applyAlignment="1">
      <alignment horizontal="left"/>
    </xf>
    <xf numFmtId="0" fontId="43" fillId="12" borderId="0" xfId="0" applyFont="1" applyFill="1" applyAlignment="1">
      <alignment horizontal="left"/>
    </xf>
    <xf numFmtId="0" fontId="44" fillId="0" borderId="0" xfId="0" applyFont="1" applyAlignment="1">
      <alignment horizontal="right"/>
    </xf>
    <xf numFmtId="14" fontId="44" fillId="0" borderId="0" xfId="0" applyNumberFormat="1" applyFont="1" applyAlignment="1">
      <alignment horizontal="left"/>
    </xf>
    <xf numFmtId="0" fontId="53" fillId="0" borderId="0" xfId="0" applyFont="1" applyAlignment="1">
      <alignment horizontal="left"/>
    </xf>
    <xf numFmtId="0" fontId="53" fillId="0" borderId="0" xfId="0" applyFont="1" applyAlignment="1">
      <alignment horizontal="right"/>
    </xf>
    <xf numFmtId="14" fontId="9" fillId="0" borderId="0" xfId="0" applyNumberFormat="1" applyFont="1" applyAlignment="1">
      <alignment horizontal="center"/>
    </xf>
    <xf numFmtId="0" fontId="9" fillId="0" borderId="0" xfId="0" applyFont="1" applyAlignment="1">
      <alignment horizontal="left" wrapText="1"/>
    </xf>
    <xf numFmtId="14" fontId="44" fillId="0" borderId="0" xfId="0" applyNumberFormat="1" applyFont="1"/>
    <xf numFmtId="14" fontId="9" fillId="12" borderId="0" xfId="0" applyNumberFormat="1" applyFont="1" applyFill="1" applyAlignment="1">
      <alignment horizontal="center"/>
    </xf>
    <xf numFmtId="14" fontId="6" fillId="12" borderId="0" xfId="0" applyNumberFormat="1" applyFont="1" applyFill="1" applyAlignment="1">
      <alignment horizontal="center"/>
    </xf>
    <xf numFmtId="0" fontId="43" fillId="12" borderId="0" xfId="0" applyFont="1" applyFill="1" applyAlignment="1">
      <alignment horizontal="center"/>
    </xf>
    <xf numFmtId="0" fontId="43" fillId="12" borderId="0" xfId="0" applyFont="1" applyFill="1"/>
    <xf numFmtId="14" fontId="43" fillId="12" borderId="0" xfId="0" applyNumberFormat="1" applyFont="1" applyFill="1"/>
    <xf numFmtId="14" fontId="6" fillId="0" borderId="0" xfId="0" applyNumberFormat="1" applyFont="1" applyAlignment="1">
      <alignment horizontal="center"/>
    </xf>
    <xf numFmtId="0" fontId="0" fillId="8" borderId="0" xfId="0" applyFill="1"/>
    <xf numFmtId="14" fontId="0" fillId="8" borderId="0" xfId="0" applyNumberFormat="1" applyFill="1"/>
    <xf numFmtId="0" fontId="9" fillId="12" borderId="0" xfId="0" applyFont="1" applyFill="1" applyAlignment="1">
      <alignment horizontal="center" wrapText="1"/>
    </xf>
    <xf numFmtId="0" fontId="9" fillId="12" borderId="0" xfId="0" applyFont="1" applyFill="1" applyAlignment="1">
      <alignment horizontal="center"/>
    </xf>
    <xf numFmtId="0" fontId="5" fillId="4" borderId="32" xfId="0" applyFont="1" applyFill="1" applyBorder="1" applyAlignment="1">
      <alignment horizontal="left" textRotation="90"/>
    </xf>
    <xf numFmtId="0" fontId="5" fillId="4" borderId="33" xfId="0" applyFont="1" applyFill="1" applyBorder="1" applyAlignment="1">
      <alignment horizontal="left" textRotation="90"/>
    </xf>
    <xf numFmtId="0" fontId="9" fillId="5" borderId="34" xfId="0" applyFont="1" applyFill="1" applyBorder="1" applyAlignment="1">
      <alignment horizontal="center"/>
    </xf>
    <xf numFmtId="0" fontId="9" fillId="5" borderId="35" xfId="0" applyFont="1" applyFill="1" applyBorder="1" applyAlignment="1">
      <alignment horizontal="center"/>
    </xf>
    <xf numFmtId="0" fontId="9" fillId="5" borderId="36" xfId="0" applyFont="1" applyFill="1" applyBorder="1" applyAlignment="1">
      <alignment horizontal="center"/>
    </xf>
    <xf numFmtId="0" fontId="9" fillId="5" borderId="37" xfId="0" applyFont="1" applyFill="1" applyBorder="1" applyAlignment="1">
      <alignment horizontal="center"/>
    </xf>
    <xf numFmtId="14" fontId="0" fillId="0" borderId="0" xfId="0" applyNumberFormat="1" applyAlignment="1">
      <alignment horizontal="center"/>
    </xf>
    <xf numFmtId="0" fontId="54" fillId="0" borderId="0" xfId="1" applyFont="1" applyAlignment="1">
      <alignment vertical="top" wrapText="1"/>
    </xf>
    <xf numFmtId="0" fontId="55" fillId="2" borderId="0" xfId="1" applyFont="1" applyFill="1" applyAlignment="1">
      <alignment vertical="center"/>
    </xf>
    <xf numFmtId="0" fontId="17" fillId="0" borderId="0" xfId="1" applyFont="1" applyAlignment="1">
      <alignment horizontal="center"/>
    </xf>
    <xf numFmtId="0" fontId="8" fillId="0" borderId="0" xfId="1" applyFont="1" applyAlignment="1">
      <alignment horizontal="center" vertical="center"/>
    </xf>
    <xf numFmtId="0" fontId="17" fillId="0" borderId="0" xfId="1" applyFont="1"/>
    <xf numFmtId="0" fontId="9" fillId="5" borderId="7" xfId="0" applyFont="1" applyFill="1" applyBorder="1" applyAlignment="1">
      <alignment horizontal="center"/>
    </xf>
    <xf numFmtId="0" fontId="9" fillId="5" borderId="38" xfId="0" applyFont="1" applyFill="1" applyBorder="1" applyAlignment="1">
      <alignment horizontal="center"/>
    </xf>
    <xf numFmtId="0" fontId="9" fillId="5" borderId="39" xfId="0" applyFont="1" applyFill="1" applyBorder="1" applyAlignment="1">
      <alignment horizontal="center"/>
    </xf>
    <xf numFmtId="0" fontId="21" fillId="0" borderId="21" xfId="1" applyFont="1" applyBorder="1" applyAlignment="1">
      <alignment horizontal="left" vertical="center" wrapText="1"/>
    </xf>
    <xf numFmtId="0" fontId="22" fillId="10" borderId="0" xfId="1" applyFont="1" applyFill="1" applyAlignment="1">
      <alignment horizontal="left" vertical="center" wrapText="1"/>
    </xf>
    <xf numFmtId="0" fontId="51" fillId="2" borderId="24" xfId="1" applyFont="1" applyFill="1" applyBorder="1" applyAlignment="1">
      <alignment horizontal="center" vertical="center" wrapText="1"/>
    </xf>
    <xf numFmtId="0" fontId="51" fillId="2" borderId="25" xfId="1" applyFont="1" applyFill="1" applyBorder="1" applyAlignment="1">
      <alignment horizontal="center" vertical="center" wrapText="1"/>
    </xf>
    <xf numFmtId="0" fontId="51" fillId="2" borderId="22" xfId="1" applyFont="1" applyFill="1" applyBorder="1" applyAlignment="1" applyProtection="1">
      <alignment horizontal="left" vertical="center" wrapText="1"/>
      <protection locked="0"/>
    </xf>
    <xf numFmtId="0" fontId="36" fillId="0" borderId="21" xfId="1"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47" fillId="3" borderId="3" xfId="0" applyFont="1" applyFill="1" applyBorder="1" applyAlignment="1">
      <alignment horizontal="right" vertical="center"/>
    </xf>
    <xf numFmtId="0" fontId="47" fillId="3" borderId="1" xfId="0" applyFont="1" applyFill="1" applyBorder="1" applyAlignment="1">
      <alignment horizontal="right" vertical="center"/>
    </xf>
    <xf numFmtId="0" fontId="47" fillId="3" borderId="2" xfId="0" applyFont="1" applyFill="1" applyBorder="1" applyAlignment="1">
      <alignment horizontal="right" vertical="center"/>
    </xf>
    <xf numFmtId="0" fontId="7" fillId="0" borderId="0" xfId="0" applyFont="1" applyAlignment="1">
      <alignment horizontal="left" wrapText="1"/>
    </xf>
    <xf numFmtId="0" fontId="7" fillId="6" borderId="0" xfId="0" applyFont="1" applyFill="1" applyAlignment="1">
      <alignment wrapText="1"/>
    </xf>
    <xf numFmtId="0" fontId="51" fillId="0" borderId="21" xfId="1" applyFont="1" applyBorder="1" applyAlignment="1">
      <alignment horizontal="left" vertical="center" wrapText="1"/>
    </xf>
    <xf numFmtId="0" fontId="1" fillId="0" borderId="0" xfId="1" applyAlignment="1">
      <alignment horizontal="center" vertical="center"/>
    </xf>
    <xf numFmtId="0" fontId="25" fillId="0" borderId="0" xfId="1" applyFont="1" applyAlignment="1">
      <alignment horizontal="center" vertical="center" wrapText="1"/>
    </xf>
    <xf numFmtId="0" fontId="23" fillId="2" borderId="0" xfId="1" applyFont="1" applyFill="1" applyAlignment="1">
      <alignment horizontal="center" vertical="center"/>
    </xf>
    <xf numFmtId="0" fontId="35" fillId="2" borderId="0" xfId="1" applyFont="1" applyFill="1" applyAlignment="1">
      <alignment horizontal="center" vertical="center"/>
    </xf>
    <xf numFmtId="0" fontId="56" fillId="0" borderId="0" xfId="0" applyFont="1"/>
    <xf numFmtId="0" fontId="56" fillId="0" borderId="0" xfId="0" applyFont="1" applyAlignment="1">
      <alignment horizontal="center"/>
    </xf>
    <xf numFmtId="0" fontId="56" fillId="13" borderId="0" xfId="0" applyFont="1" applyFill="1"/>
    <xf numFmtId="0" fontId="56" fillId="13" borderId="0" xfId="0" applyFont="1" applyFill="1" applyAlignment="1">
      <alignment horizontal="center"/>
    </xf>
    <xf numFmtId="0" fontId="57" fillId="2" borderId="0" xfId="1" applyFont="1" applyFill="1" applyAlignment="1" applyProtection="1">
      <alignment vertical="center"/>
      <protection locked="0"/>
    </xf>
    <xf numFmtId="0" fontId="58" fillId="0" borderId="6" xfId="0" applyFont="1" applyBorder="1" applyAlignment="1">
      <alignment horizontal="center" vertical="center"/>
    </xf>
    <xf numFmtId="0" fontId="58" fillId="0" borderId="8" xfId="0" applyFont="1" applyBorder="1" applyAlignment="1">
      <alignment horizontal="center" vertical="center"/>
    </xf>
    <xf numFmtId="0" fontId="58" fillId="9" borderId="8" xfId="0" applyFont="1" applyFill="1" applyBorder="1" applyAlignment="1">
      <alignment horizontal="center" vertical="center"/>
    </xf>
    <xf numFmtId="0" fontId="6" fillId="12" borderId="0" xfId="0" applyFont="1" applyFill="1" applyAlignment="1">
      <alignment horizont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59" fillId="3" borderId="3" xfId="0" applyFont="1" applyFill="1" applyBorder="1" applyAlignment="1">
      <alignment horizontal="right" vertical="center"/>
    </xf>
    <xf numFmtId="0" fontId="59" fillId="3" borderId="1" xfId="0" applyFont="1" applyFill="1" applyBorder="1" applyAlignment="1">
      <alignment horizontal="right" vertical="center"/>
    </xf>
    <xf numFmtId="0" fontId="59" fillId="3" borderId="2" xfId="0" applyFont="1" applyFill="1" applyBorder="1" applyAlignment="1">
      <alignment horizontal="right" vertical="center"/>
    </xf>
    <xf numFmtId="0" fontId="21" fillId="14" borderId="14" xfId="1" applyFont="1" applyFill="1" applyBorder="1" applyAlignment="1">
      <alignment horizontal="center" vertical="center" wrapText="1"/>
    </xf>
    <xf numFmtId="0" fontId="21" fillId="14" borderId="0" xfId="1" applyFont="1" applyFill="1" applyAlignment="1">
      <alignment horizontal="center" vertical="center" wrapText="1"/>
    </xf>
    <xf numFmtId="0" fontId="21" fillId="14" borderId="0" xfId="1" applyFont="1" applyFill="1" applyAlignment="1">
      <alignment vertical="center" wrapText="1"/>
    </xf>
    <xf numFmtId="0" fontId="24" fillId="14" borderId="0" xfId="1" applyFont="1" applyFill="1" applyAlignment="1">
      <alignment horizontal="left" vertical="center" wrapText="1"/>
    </xf>
    <xf numFmtId="0" fontId="21" fillId="14" borderId="23" xfId="1" applyFont="1" applyFill="1" applyBorder="1" applyAlignment="1">
      <alignment horizontal="center" vertical="center" wrapText="1"/>
    </xf>
    <xf numFmtId="0" fontId="21" fillId="14" borderId="19" xfId="1" applyFont="1" applyFill="1" applyBorder="1" applyAlignment="1">
      <alignment horizontal="center" vertical="center" wrapText="1"/>
    </xf>
    <xf numFmtId="0" fontId="21" fillId="14" borderId="19" xfId="1" applyFont="1" applyFill="1" applyBorder="1" applyAlignment="1" applyProtection="1">
      <alignment horizontal="left" vertical="center" wrapText="1"/>
      <protection locked="0"/>
    </xf>
    <xf numFmtId="0" fontId="4" fillId="15" borderId="8" xfId="0" applyFont="1" applyFill="1" applyBorder="1" applyAlignment="1">
      <alignment horizontal="center" vertical="center"/>
    </xf>
    <xf numFmtId="0" fontId="3" fillId="15" borderId="8" xfId="0" applyFont="1" applyFill="1" applyBorder="1" applyAlignment="1">
      <alignment horizontal="center" vertical="center"/>
    </xf>
    <xf numFmtId="0" fontId="61" fillId="0" borderId="0" xfId="0" applyFont="1"/>
    <xf numFmtId="0" fontId="62" fillId="8" borderId="0" xfId="0" applyFont="1" applyFill="1"/>
    <xf numFmtId="0" fontId="63" fillId="5" borderId="31" xfId="0" applyFont="1" applyFill="1" applyBorder="1" applyAlignment="1">
      <alignment horizontal="center"/>
    </xf>
    <xf numFmtId="0" fontId="63" fillId="0" borderId="0" xfId="0" applyFont="1"/>
    <xf numFmtId="0" fontId="63" fillId="0" borderId="0" xfId="0" applyFont="1" applyAlignment="1">
      <alignment horizontal="center"/>
    </xf>
    <xf numFmtId="0" fontId="63" fillId="6" borderId="0" xfId="0" applyFont="1" applyFill="1" applyAlignment="1">
      <alignment wrapText="1"/>
    </xf>
    <xf numFmtId="0" fontId="63" fillId="0" borderId="0" xfId="0" applyFont="1" applyAlignment="1">
      <alignment horizontal="left" wrapText="1"/>
    </xf>
    <xf numFmtId="0" fontId="63" fillId="5" borderId="4" xfId="0" applyFont="1" applyFill="1" applyBorder="1" applyAlignment="1">
      <alignment horizontal="center"/>
    </xf>
    <xf numFmtId="0" fontId="63" fillId="5" borderId="5" xfId="0" applyFont="1" applyFill="1" applyBorder="1" applyAlignment="1">
      <alignment horizontal="center"/>
    </xf>
    <xf numFmtId="0" fontId="64" fillId="5" borderId="5" xfId="0" applyFont="1" applyFill="1" applyBorder="1" applyAlignment="1">
      <alignment horizontal="center"/>
    </xf>
    <xf numFmtId="0" fontId="63" fillId="5" borderId="6" xfId="0" applyFont="1" applyFill="1" applyBorder="1" applyAlignment="1">
      <alignment horizontal="center"/>
    </xf>
    <xf numFmtId="0" fontId="63" fillId="5" borderId="36" xfId="0" applyFont="1" applyFill="1" applyBorder="1" applyAlignment="1">
      <alignment horizontal="center"/>
    </xf>
    <xf numFmtId="0" fontId="63" fillId="5" borderId="37" xfId="0" applyFont="1" applyFill="1" applyBorder="1" applyAlignment="1">
      <alignment horizontal="center"/>
    </xf>
    <xf numFmtId="0" fontId="63" fillId="5" borderId="30" xfId="0" applyFont="1" applyFill="1" applyBorder="1" applyAlignment="1">
      <alignment horizontal="center"/>
    </xf>
    <xf numFmtId="0" fontId="36" fillId="0" borderId="20" xfId="1" applyFont="1" applyBorder="1" applyAlignment="1">
      <alignment horizontal="center" vertical="center"/>
    </xf>
    <xf numFmtId="14" fontId="37" fillId="2" borderId="0" xfId="1" applyNumberFormat="1" applyFont="1" applyFill="1" applyAlignment="1">
      <alignment horizontal="right" vertical="center"/>
    </xf>
    <xf numFmtId="0" fontId="65" fillId="10" borderId="0" xfId="1" applyFont="1" applyFill="1" applyAlignment="1">
      <alignment horizontal="right" vertical="center"/>
    </xf>
    <xf numFmtId="0" fontId="6" fillId="0" borderId="0" xfId="0" applyFont="1"/>
    <xf numFmtId="0" fontId="6" fillId="0" borderId="0" xfId="0" applyFont="1" applyAlignment="1">
      <alignment horizontal="left"/>
    </xf>
    <xf numFmtId="0" fontId="9" fillId="5" borderId="40" xfId="0" applyFont="1" applyFill="1" applyBorder="1" applyAlignment="1">
      <alignment horizontal="center"/>
    </xf>
    <xf numFmtId="0" fontId="9" fillId="5" borderId="41" xfId="0" applyFont="1" applyFill="1" applyBorder="1" applyAlignment="1">
      <alignment horizontal="center"/>
    </xf>
    <xf numFmtId="0" fontId="50" fillId="14" borderId="16" xfId="1" applyFont="1" applyFill="1" applyBorder="1" applyAlignment="1">
      <alignment horizontal="centerContinuous" vertical="center"/>
    </xf>
    <xf numFmtId="0" fontId="18" fillId="14" borderId="17" xfId="1" applyFont="1" applyFill="1" applyBorder="1" applyAlignment="1">
      <alignment horizontal="centerContinuous" vertical="center"/>
    </xf>
    <xf numFmtId="0" fontId="50" fillId="14" borderId="17" xfId="1" applyFont="1" applyFill="1" applyBorder="1" applyAlignment="1">
      <alignment horizontal="centerContinuous" vertical="center"/>
    </xf>
    <xf numFmtId="0" fontId="41" fillId="14" borderId="17" xfId="1" applyFont="1" applyFill="1" applyBorder="1" applyAlignment="1">
      <alignment horizontal="centerContinuous" vertical="center"/>
    </xf>
    <xf numFmtId="0" fontId="41" fillId="14" borderId="18" xfId="1" applyFont="1" applyFill="1" applyBorder="1" applyAlignment="1">
      <alignment horizontal="centerContinuous" vertical="center"/>
    </xf>
    <xf numFmtId="0" fontId="38" fillId="10" borderId="15" xfId="1" applyFont="1" applyFill="1" applyBorder="1" applyAlignment="1">
      <alignment horizontal="left" vertical="center" wrapText="1"/>
    </xf>
    <xf numFmtId="0" fontId="26" fillId="2" borderId="0" xfId="1" applyFont="1" applyFill="1" applyAlignment="1">
      <alignment horizontal="center" vertical="center" wrapText="1"/>
    </xf>
    <xf numFmtId="0" fontId="21" fillId="2" borderId="22" xfId="1" applyFont="1" applyFill="1" applyBorder="1" applyAlignment="1" applyProtection="1">
      <alignment horizontal="center" vertical="center" wrapText="1"/>
      <protection locked="0"/>
    </xf>
    <xf numFmtId="0" fontId="21" fillId="14" borderId="19" xfId="1" applyFont="1" applyFill="1" applyBorder="1" applyAlignment="1" applyProtection="1">
      <alignment horizontal="center" vertical="center" wrapText="1"/>
      <protection locked="0"/>
    </xf>
    <xf numFmtId="0" fontId="21" fillId="0" borderId="22" xfId="1" applyFont="1" applyBorder="1" applyAlignment="1" applyProtection="1">
      <alignment horizontal="center" vertical="center" wrapText="1"/>
      <protection locked="0"/>
    </xf>
    <xf numFmtId="0" fontId="51" fillId="2" borderId="22" xfId="1" applyFont="1" applyFill="1" applyBorder="1" applyAlignment="1" applyProtection="1">
      <alignment horizontal="center" vertical="center" wrapText="1"/>
      <protection locked="0"/>
    </xf>
    <xf numFmtId="0" fontId="17" fillId="0" borderId="12" xfId="1" applyFont="1" applyBorder="1" applyAlignment="1" applyProtection="1">
      <alignment horizontal="center"/>
    </xf>
    <xf numFmtId="0" fontId="17" fillId="0" borderId="13" xfId="1" applyFont="1" applyBorder="1" applyAlignment="1" applyProtection="1">
      <alignment horizontal="center"/>
    </xf>
    <xf numFmtId="0" fontId="17" fillId="0" borderId="13" xfId="1" applyFont="1" applyBorder="1" applyProtection="1"/>
    <xf numFmtId="0" fontId="17" fillId="0" borderId="14" xfId="1" applyFont="1" applyBorder="1" applyProtection="1"/>
    <xf numFmtId="0" fontId="1" fillId="0" borderId="0" xfId="1" applyProtection="1"/>
    <xf numFmtId="0" fontId="17" fillId="0" borderId="0" xfId="1" applyFont="1" applyAlignment="1" applyProtection="1">
      <alignment horizontal="center"/>
    </xf>
    <xf numFmtId="0" fontId="8" fillId="0" borderId="0" xfId="1" applyFont="1" applyAlignment="1" applyProtection="1">
      <alignment horizontal="center" vertical="center"/>
    </xf>
    <xf numFmtId="0" fontId="17" fillId="0" borderId="0" xfId="1" applyFont="1" applyProtection="1"/>
    <xf numFmtId="0" fontId="38" fillId="10" borderId="15" xfId="1" applyFont="1" applyFill="1" applyBorder="1" applyAlignment="1" applyProtection="1">
      <alignment horizontal="left" vertical="center" wrapText="1"/>
    </xf>
    <xf numFmtId="0" fontId="38" fillId="10" borderId="0" xfId="1" applyFont="1" applyFill="1" applyAlignment="1" applyProtection="1">
      <alignment vertical="center" wrapText="1"/>
    </xf>
    <xf numFmtId="0" fontId="50" fillId="14" borderId="16" xfId="1" applyFont="1" applyFill="1" applyBorder="1" applyAlignment="1" applyProtection="1">
      <alignment horizontal="centerContinuous" vertical="center"/>
    </xf>
    <xf numFmtId="0" fontId="18" fillId="14" borderId="17" xfId="1" applyFont="1" applyFill="1" applyBorder="1" applyAlignment="1" applyProtection="1">
      <alignment horizontal="centerContinuous" vertical="center"/>
    </xf>
    <xf numFmtId="0" fontId="50" fillId="14" borderId="17" xfId="1" applyFont="1" applyFill="1" applyBorder="1" applyAlignment="1" applyProtection="1">
      <alignment horizontal="centerContinuous" vertical="center"/>
    </xf>
    <xf numFmtId="0" fontId="41" fillId="14" borderId="17" xfId="1" applyFont="1" applyFill="1" applyBorder="1" applyAlignment="1" applyProtection="1">
      <alignment horizontal="centerContinuous" vertical="center"/>
    </xf>
    <xf numFmtId="0" fontId="41" fillId="14" borderId="18" xfId="1" applyFont="1" applyFill="1" applyBorder="1" applyAlignment="1" applyProtection="1">
      <alignment horizontal="centerContinuous" vertical="center"/>
    </xf>
    <xf numFmtId="0" fontId="1" fillId="0" borderId="0" xfId="1" applyAlignment="1" applyProtection="1">
      <alignment horizontal="center"/>
    </xf>
    <xf numFmtId="0" fontId="19" fillId="2" borderId="0" xfId="1" applyFont="1" applyFill="1" applyAlignment="1" applyProtection="1">
      <alignment horizontal="right" vertical="center" indent="1"/>
    </xf>
    <xf numFmtId="0" fontId="21" fillId="2" borderId="0" xfId="1" applyFont="1" applyFill="1" applyAlignment="1" applyProtection="1">
      <alignment horizontal="right" vertical="center" indent="1"/>
    </xf>
    <xf numFmtId="0" fontId="60" fillId="2" borderId="0" xfId="1" applyFont="1" applyFill="1" applyAlignment="1" applyProtection="1">
      <alignment vertical="center"/>
    </xf>
    <xf numFmtId="0" fontId="19" fillId="2" borderId="0" xfId="1" applyFont="1" applyFill="1" applyAlignment="1" applyProtection="1">
      <alignment vertical="center"/>
    </xf>
    <xf numFmtId="0" fontId="55" fillId="2" borderId="0" xfId="1" applyFont="1" applyFill="1" applyAlignment="1" applyProtection="1">
      <alignment vertical="center"/>
    </xf>
    <xf numFmtId="14" fontId="37" fillId="2" borderId="0" xfId="1" applyNumberFormat="1" applyFont="1" applyFill="1" applyAlignment="1" applyProtection="1">
      <alignment horizontal="right" vertical="center"/>
    </xf>
    <xf numFmtId="0" fontId="19" fillId="2" borderId="0" xfId="1" applyFont="1" applyFill="1" applyAlignment="1" applyProtection="1">
      <alignment horizontal="left" vertical="center"/>
    </xf>
    <xf numFmtId="0" fontId="19" fillId="2" borderId="0" xfId="1" applyFont="1" applyFill="1" applyAlignment="1" applyProtection="1">
      <alignment horizontal="left" vertical="center" indent="1"/>
    </xf>
    <xf numFmtId="0" fontId="21" fillId="2" borderId="0" xfId="1" applyFont="1" applyFill="1" applyAlignment="1" applyProtection="1">
      <alignment horizontal="left" vertical="center" wrapText="1"/>
    </xf>
    <xf numFmtId="0" fontId="21" fillId="0" borderId="0" xfId="1" applyFont="1" applyAlignment="1" applyProtection="1">
      <alignment vertical="top" wrapText="1"/>
    </xf>
    <xf numFmtId="0" fontId="54" fillId="0" borderId="0" xfId="1" applyFont="1" applyAlignment="1" applyProtection="1">
      <alignment vertical="top" wrapText="1"/>
    </xf>
    <xf numFmtId="0" fontId="22" fillId="10" borderId="0" xfId="1" applyFont="1" applyFill="1" applyAlignment="1" applyProtection="1">
      <alignment horizontal="center" vertical="center"/>
    </xf>
    <xf numFmtId="0" fontId="22" fillId="10" borderId="0" xfId="1" applyFont="1" applyFill="1" applyAlignment="1" applyProtection="1">
      <alignment horizontal="left" vertical="center" indent="1"/>
    </xf>
    <xf numFmtId="0" fontId="22" fillId="10" borderId="0" xfId="1" applyFont="1" applyFill="1" applyAlignment="1" applyProtection="1">
      <alignment vertical="center"/>
    </xf>
    <xf numFmtId="0" fontId="22" fillId="10" borderId="23" xfId="1" applyFont="1" applyFill="1" applyBorder="1" applyAlignment="1" applyProtection="1">
      <alignment horizontal="left" vertical="center"/>
    </xf>
    <xf numFmtId="0" fontId="22" fillId="10" borderId="0" xfId="1" applyFont="1" applyFill="1" applyAlignment="1" applyProtection="1">
      <alignment horizontal="left" vertical="center"/>
    </xf>
    <xf numFmtId="0" fontId="22" fillId="10" borderId="19" xfId="1" applyFont="1" applyFill="1" applyBorder="1" applyAlignment="1" applyProtection="1">
      <alignment horizontal="left" vertical="center"/>
    </xf>
    <xf numFmtId="0" fontId="23" fillId="2" borderId="0" xfId="1" applyFont="1" applyFill="1" applyAlignment="1" applyProtection="1">
      <alignment vertical="center"/>
    </xf>
    <xf numFmtId="0" fontId="24" fillId="2" borderId="0" xfId="1" applyFont="1" applyFill="1" applyAlignment="1" applyProtection="1">
      <alignment vertical="center"/>
    </xf>
    <xf numFmtId="0" fontId="22" fillId="10" borderId="0" xfId="1" applyFont="1" applyFill="1" applyAlignment="1" applyProtection="1">
      <alignment horizontal="center" vertical="center" wrapText="1"/>
    </xf>
    <xf numFmtId="0" fontId="22" fillId="10" borderId="23" xfId="1" applyFont="1" applyFill="1" applyBorder="1" applyAlignment="1" applyProtection="1">
      <alignment horizontal="center" vertical="center" wrapText="1"/>
    </xf>
    <xf numFmtId="0" fontId="22" fillId="10" borderId="19" xfId="1" applyFont="1" applyFill="1" applyBorder="1" applyAlignment="1" applyProtection="1">
      <alignment horizontal="center" vertical="center" wrapText="1"/>
    </xf>
    <xf numFmtId="0" fontId="21" fillId="2" borderId="20" xfId="1" applyFont="1" applyFill="1" applyBorder="1" applyAlignment="1" applyProtection="1">
      <alignment horizontal="center" vertical="center" wrapText="1"/>
    </xf>
    <xf numFmtId="0" fontId="21" fillId="2" borderId="21" xfId="1" applyFont="1" applyFill="1" applyBorder="1" applyAlignment="1" applyProtection="1">
      <alignment horizontal="center" vertical="center" wrapText="1"/>
    </xf>
    <xf numFmtId="0" fontId="21" fillId="2" borderId="21" xfId="1" applyFont="1" applyFill="1" applyBorder="1" applyAlignment="1" applyProtection="1">
      <alignment vertical="center" wrapText="1"/>
    </xf>
    <xf numFmtId="0" fontId="24" fillId="2" borderId="21" xfId="1" applyFont="1" applyFill="1" applyBorder="1" applyAlignment="1" applyProtection="1">
      <alignment horizontal="center" vertical="center" wrapText="1"/>
    </xf>
    <xf numFmtId="0" fontId="21" fillId="2" borderId="24" xfId="1" applyFont="1" applyFill="1" applyBorder="1" applyAlignment="1" applyProtection="1">
      <alignment horizontal="center" vertical="center" wrapText="1"/>
    </xf>
    <xf numFmtId="0" fontId="21" fillId="2" borderId="25" xfId="1" applyFont="1" applyFill="1" applyBorder="1" applyAlignment="1" applyProtection="1">
      <alignment horizontal="center" vertical="center" wrapText="1"/>
    </xf>
    <xf numFmtId="0" fontId="25" fillId="0" borderId="0" xfId="1" applyFont="1" applyAlignment="1" applyProtection="1">
      <alignment horizontal="center" vertical="center" wrapText="1"/>
    </xf>
    <xf numFmtId="0" fontId="23" fillId="2" borderId="0" xfId="1" applyFont="1" applyFill="1" applyAlignment="1" applyProtection="1">
      <alignment wrapText="1"/>
    </xf>
    <xf numFmtId="0" fontId="24" fillId="2" borderId="0" xfId="1" applyFont="1" applyFill="1" applyAlignment="1" applyProtection="1">
      <alignment wrapText="1"/>
    </xf>
    <xf numFmtId="0" fontId="21" fillId="14" borderId="14" xfId="1" applyFont="1" applyFill="1" applyBorder="1" applyAlignment="1" applyProtection="1">
      <alignment horizontal="center" vertical="center" wrapText="1"/>
    </xf>
    <xf numFmtId="0" fontId="21" fillId="14" borderId="0" xfId="1" applyFont="1" applyFill="1" applyAlignment="1" applyProtection="1">
      <alignment horizontal="center" vertical="center" wrapText="1"/>
    </xf>
    <xf numFmtId="0" fontId="21" fillId="14" borderId="0" xfId="1" applyFont="1" applyFill="1" applyAlignment="1" applyProtection="1">
      <alignment vertical="center" wrapText="1"/>
    </xf>
    <xf numFmtId="0" fontId="24" fillId="14" borderId="0" xfId="1" applyFont="1" applyFill="1" applyAlignment="1" applyProtection="1">
      <alignment horizontal="left" vertical="center" wrapText="1"/>
    </xf>
    <xf numFmtId="0" fontId="21" fillId="14" borderId="23" xfId="1" applyFont="1" applyFill="1" applyBorder="1" applyAlignment="1" applyProtection="1">
      <alignment horizontal="center" vertical="center" wrapText="1"/>
    </xf>
    <xf numFmtId="0" fontId="21" fillId="14" borderId="19" xfId="1" applyFont="1" applyFill="1" applyBorder="1" applyAlignment="1" applyProtection="1">
      <alignment horizontal="center" vertical="center" wrapText="1"/>
    </xf>
    <xf numFmtId="0" fontId="21" fillId="0" borderId="21" xfId="1" applyFont="1" applyBorder="1" applyAlignment="1" applyProtection="1">
      <alignment horizontal="center" vertical="center" wrapText="1"/>
    </xf>
    <xf numFmtId="0" fontId="21" fillId="0" borderId="24" xfId="1" applyFont="1" applyBorder="1" applyAlignment="1" applyProtection="1">
      <alignment horizontal="center" vertical="center" wrapText="1"/>
    </xf>
    <xf numFmtId="0" fontId="21" fillId="0" borderId="25" xfId="1" applyFont="1" applyBorder="1" applyAlignment="1" applyProtection="1">
      <alignment horizontal="center" vertical="center" wrapText="1"/>
    </xf>
    <xf numFmtId="0" fontId="23" fillId="2" borderId="0" xfId="1" applyFont="1" applyFill="1" applyProtection="1"/>
    <xf numFmtId="0" fontId="24" fillId="2" borderId="0" xfId="1" applyFont="1" applyFill="1" applyProtection="1"/>
    <xf numFmtId="0" fontId="21" fillId="0" borderId="21" xfId="1" applyFont="1" applyBorder="1" applyAlignment="1" applyProtection="1">
      <alignment horizontal="left" vertical="center" wrapText="1"/>
    </xf>
    <xf numFmtId="0" fontId="22" fillId="10" borderId="0" xfId="1" applyFont="1" applyFill="1" applyAlignment="1" applyProtection="1">
      <alignment horizontal="left" vertical="center" wrapText="1"/>
    </xf>
    <xf numFmtId="0" fontId="23" fillId="2" borderId="0" xfId="1" applyFont="1" applyFill="1" applyAlignment="1" applyProtection="1">
      <alignment horizontal="center" vertical="center"/>
    </xf>
    <xf numFmtId="0" fontId="51" fillId="2" borderId="20" xfId="1" applyFont="1" applyFill="1" applyBorder="1" applyAlignment="1" applyProtection="1">
      <alignment horizontal="center" vertical="center" wrapText="1"/>
    </xf>
    <xf numFmtId="0" fontId="51" fillId="0" borderId="21" xfId="1" applyFont="1" applyBorder="1" applyAlignment="1" applyProtection="1">
      <alignment horizontal="center" vertical="center" wrapText="1"/>
    </xf>
    <xf numFmtId="0" fontId="51" fillId="0" borderId="21" xfId="1" applyFont="1" applyBorder="1" applyAlignment="1" applyProtection="1">
      <alignment vertical="center" wrapText="1"/>
    </xf>
    <xf numFmtId="0" fontId="52" fillId="2" borderId="21" xfId="1" applyFont="1" applyFill="1" applyBorder="1" applyAlignment="1" applyProtection="1">
      <alignment horizontal="center" vertical="center" wrapText="1"/>
    </xf>
    <xf numFmtId="0" fontId="51" fillId="2" borderId="21" xfId="1" applyFont="1" applyFill="1" applyBorder="1" applyAlignment="1" applyProtection="1">
      <alignment horizontal="center" vertical="center" wrapText="1"/>
    </xf>
    <xf numFmtId="0" fontId="51" fillId="2" borderId="24" xfId="1" applyFont="1" applyFill="1" applyBorder="1" applyAlignment="1" applyProtection="1">
      <alignment horizontal="center" vertical="center" wrapText="1"/>
    </xf>
    <xf numFmtId="0" fontId="51" fillId="2" borderId="25" xfId="1" applyFont="1" applyFill="1" applyBorder="1" applyAlignment="1" applyProtection="1">
      <alignment horizontal="center" vertical="center" wrapText="1"/>
    </xf>
    <xf numFmtId="0" fontId="51" fillId="2" borderId="22" xfId="1" applyFont="1" applyFill="1" applyBorder="1" applyAlignment="1" applyProtection="1">
      <alignment horizontal="center" vertical="center" wrapText="1"/>
    </xf>
    <xf numFmtId="0" fontId="51" fillId="0" borderId="21" xfId="1" applyFont="1" applyBorder="1" applyAlignment="1" applyProtection="1">
      <alignment horizontal="left" vertical="center" wrapText="1"/>
    </xf>
    <xf numFmtId="0" fontId="51" fillId="0" borderId="21" xfId="1" applyFont="1" applyBorder="1" applyAlignment="1" applyProtection="1">
      <alignment horizontal="left" vertical="center"/>
    </xf>
    <xf numFmtId="0" fontId="32" fillId="2" borderId="0" xfId="1" applyFont="1" applyFill="1" applyAlignment="1" applyProtection="1">
      <alignment horizontal="left" vertical="center" wrapText="1"/>
    </xf>
    <xf numFmtId="0" fontId="33" fillId="2" borderId="0" xfId="1" applyFont="1" applyFill="1" applyAlignment="1" applyProtection="1">
      <alignment horizontal="left" vertical="center" wrapText="1"/>
    </xf>
    <xf numFmtId="0" fontId="33" fillId="2" borderId="0" xfId="1" applyFont="1" applyFill="1" applyAlignment="1" applyProtection="1">
      <alignment horizontal="center" vertical="center" wrapText="1"/>
    </xf>
    <xf numFmtId="0" fontId="34" fillId="2" borderId="0" xfId="1" applyFont="1" applyFill="1" applyAlignment="1" applyProtection="1">
      <alignment vertical="center"/>
    </xf>
    <xf numFmtId="0" fontId="35" fillId="2" borderId="0" xfId="1" applyFont="1" applyFill="1" applyAlignment="1" applyProtection="1">
      <alignment horizontal="center" vertical="center"/>
    </xf>
    <xf numFmtId="0" fontId="35" fillId="2" borderId="0" xfId="1" applyFont="1" applyFill="1" applyProtection="1"/>
    <xf numFmtId="0" fontId="11" fillId="2" borderId="0" xfId="1" applyFont="1" applyFill="1" applyProtection="1"/>
    <xf numFmtId="0" fontId="48" fillId="10" borderId="0" xfId="1" applyFont="1" applyFill="1" applyAlignment="1" applyProtection="1">
      <alignment horizontal="left" vertical="center" readingOrder="1"/>
    </xf>
    <xf numFmtId="0" fontId="37" fillId="10" borderId="0" xfId="1" applyFont="1" applyFill="1" applyAlignment="1" applyProtection="1">
      <alignment horizontal="left" vertical="center" readingOrder="1"/>
    </xf>
    <xf numFmtId="0" fontId="20" fillId="10" borderId="0" xfId="1" applyFont="1" applyFill="1" applyAlignment="1" applyProtection="1">
      <alignment horizontal="left" vertical="center" readingOrder="1"/>
    </xf>
    <xf numFmtId="0" fontId="40" fillId="10" borderId="0" xfId="1" applyFont="1" applyFill="1" applyAlignment="1" applyProtection="1">
      <alignment horizontal="center" vertical="center"/>
    </xf>
    <xf numFmtId="0" fontId="40" fillId="10" borderId="0" xfId="1" applyFont="1" applyFill="1" applyAlignment="1" applyProtection="1">
      <alignment horizontal="center" vertical="center" readingOrder="1"/>
    </xf>
    <xf numFmtId="0" fontId="22" fillId="10" borderId="23" xfId="1" applyFont="1" applyFill="1" applyBorder="1" applyAlignment="1" applyProtection="1">
      <alignment vertical="center" readingOrder="1"/>
    </xf>
    <xf numFmtId="0" fontId="22" fillId="10" borderId="0" xfId="1" applyFont="1" applyFill="1" applyAlignment="1" applyProtection="1">
      <alignment vertical="center" readingOrder="1"/>
    </xf>
    <xf numFmtId="0" fontId="40" fillId="10" borderId="0" xfId="1" applyFont="1" applyFill="1" applyAlignment="1" applyProtection="1">
      <alignment vertical="center" readingOrder="1"/>
    </xf>
    <xf numFmtId="0" fontId="40" fillId="10" borderId="19" xfId="1" applyFont="1" applyFill="1" applyBorder="1" applyAlignment="1" applyProtection="1">
      <alignment vertical="center" readingOrder="1"/>
    </xf>
    <xf numFmtId="0" fontId="65" fillId="10" borderId="0" xfId="1" applyFont="1" applyFill="1" applyAlignment="1" applyProtection="1">
      <alignment horizontal="right" vertical="center"/>
    </xf>
    <xf numFmtId="0" fontId="1" fillId="0" borderId="0" xfId="1" applyAlignment="1" applyProtection="1">
      <alignment horizontal="center" vertical="center"/>
    </xf>
    <xf numFmtId="0" fontId="46" fillId="10" borderId="0" xfId="1" applyFont="1" applyFill="1" applyAlignment="1" applyProtection="1">
      <alignment horizontal="left" vertical="center" indent="1"/>
    </xf>
    <xf numFmtId="0" fontId="37" fillId="10" borderId="0" xfId="1" applyFont="1" applyFill="1" applyAlignment="1" applyProtection="1">
      <alignment horizontal="left" vertical="top" indent="1"/>
    </xf>
    <xf numFmtId="0" fontId="37" fillId="10" borderId="0" xfId="1" applyFont="1" applyFill="1" applyAlignment="1" applyProtection="1">
      <alignment horizontal="center" vertical="top"/>
    </xf>
    <xf numFmtId="0" fontId="22" fillId="10" borderId="23" xfId="1" applyFont="1" applyFill="1" applyBorder="1" applyAlignment="1" applyProtection="1">
      <alignment horizontal="center" vertical="top" wrapText="1"/>
    </xf>
    <xf numFmtId="0" fontId="22" fillId="10" borderId="0" xfId="1" applyFont="1" applyFill="1" applyAlignment="1" applyProtection="1">
      <alignment horizontal="center" vertical="top" wrapText="1"/>
    </xf>
    <xf numFmtId="0" fontId="22" fillId="10" borderId="27" xfId="1" applyFont="1" applyFill="1" applyBorder="1" applyAlignment="1" applyProtection="1">
      <alignment horizontal="center" vertical="top" wrapText="1"/>
    </xf>
    <xf numFmtId="0" fontId="1" fillId="0" borderId="0" xfId="1" applyAlignment="1" applyProtection="1">
      <alignment horizontal="center" vertical="top"/>
    </xf>
    <xf numFmtId="0" fontId="36" fillId="0" borderId="20" xfId="1" applyFont="1" applyBorder="1" applyAlignment="1" applyProtection="1">
      <alignment horizontal="center" vertical="center"/>
    </xf>
    <xf numFmtId="0" fontId="36" fillId="0" borderId="21" xfId="1" applyFont="1" applyBorder="1" applyAlignment="1" applyProtection="1">
      <alignment horizontal="center" vertical="center"/>
    </xf>
    <xf numFmtId="0" fontId="36" fillId="0" borderId="21" xfId="1" applyFont="1" applyBorder="1" applyAlignment="1" applyProtection="1">
      <alignment vertical="center"/>
    </xf>
    <xf numFmtId="0" fontId="36" fillId="0" borderId="21" xfId="1" applyFont="1" applyBorder="1" applyAlignment="1" applyProtection="1">
      <alignment horizontal="center" vertical="center" wrapText="1"/>
    </xf>
    <xf numFmtId="0" fontId="21" fillId="2" borderId="24" xfId="1" applyFont="1" applyFill="1" applyBorder="1" applyAlignment="1" applyProtection="1">
      <alignment horizontal="center" vertical="center"/>
    </xf>
    <xf numFmtId="0" fontId="21" fillId="2" borderId="21" xfId="1" applyFont="1" applyFill="1" applyBorder="1" applyAlignment="1" applyProtection="1">
      <alignment horizontal="center" vertical="center"/>
    </xf>
    <xf numFmtId="0" fontId="21" fillId="2" borderId="25" xfId="1" applyFont="1" applyFill="1" applyBorder="1" applyAlignment="1" applyProtection="1">
      <alignment horizontal="center" vertical="center"/>
    </xf>
    <xf numFmtId="0" fontId="0" fillId="0" borderId="0" xfId="0" applyProtection="1"/>
    <xf numFmtId="0" fontId="25" fillId="0" borderId="0" xfId="1" applyFont="1" applyAlignment="1" applyProtection="1">
      <alignment horizontal="left" vertical="top" wrapText="1"/>
    </xf>
    <xf numFmtId="0" fontId="26" fillId="2" borderId="0" xfId="1" applyFont="1" applyFill="1" applyAlignment="1" applyProtection="1">
      <alignment horizontal="center" vertical="center" wrapText="1"/>
    </xf>
    <xf numFmtId="0" fontId="30" fillId="2" borderId="0" xfId="1" applyFont="1" applyFill="1" applyProtection="1"/>
    <xf numFmtId="0" fontId="31" fillId="2" borderId="0" xfId="1" applyFont="1" applyFill="1" applyProtection="1"/>
    <xf numFmtId="0" fontId="32" fillId="2" borderId="0" xfId="1" applyFont="1" applyFill="1" applyAlignment="1" applyProtection="1">
      <alignment vertical="center"/>
    </xf>
    <xf numFmtId="0" fontId="11" fillId="2" borderId="0" xfId="1" applyFont="1" applyFill="1" applyAlignment="1" applyProtection="1">
      <alignment vertical="center"/>
    </xf>
    <xf numFmtId="0" fontId="34" fillId="2" borderId="0" xfId="1" applyFont="1" applyFill="1" applyAlignment="1" applyProtection="1">
      <alignment horizontal="right" vertical="center"/>
    </xf>
  </cellXfs>
  <cellStyles count="3">
    <cellStyle name="Hyperlink" xfId="2" builtinId="8"/>
    <cellStyle name="Normal" xfId="0" builtinId="0"/>
    <cellStyle name="Normal 2" xfId="1"/>
  </cellStyles>
  <dxfs count="178">
    <dxf>
      <font>
        <b val="0"/>
        <i/>
      </font>
      <fill>
        <patternFill>
          <bgColor theme="4"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style="medium">
          <color indexed="64"/>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medium">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style="medium">
          <color indexed="64"/>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border diagonalUp="0" diagonalDown="0">
        <left style="medium">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Arial"/>
        <scheme val="none"/>
      </font>
      <fill>
        <patternFill patternType="solid">
          <fgColor indexed="64"/>
          <bgColor theme="5"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border outline="0">
        <right style="thin">
          <color indexed="64"/>
        </right>
      </border>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left" vertical="bottom" textRotation="0" wrapText="0" indent="0" justifyLastLine="0" shrinkToFit="0" readingOrder="0"/>
    </dxf>
    <dxf>
      <font>
        <color rgb="FF9C0006"/>
      </font>
      <fill>
        <patternFill>
          <bgColor rgb="FFFFC7CE"/>
        </patternFill>
      </fill>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dxf>
    <dxf>
      <font>
        <b val="0"/>
        <i val="0"/>
        <strike val="0"/>
        <condense val="0"/>
        <extend val="0"/>
        <outline val="0"/>
        <shadow val="0"/>
        <u val="none"/>
        <vertAlign val="baseline"/>
        <sz val="10"/>
        <color rgb="FF000000"/>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14996795556505021"/>
        </patternFill>
      </fill>
    </dxf>
    <dxf>
      <font>
        <b/>
        <i/>
      </font>
      <fill>
        <patternFill patternType="solid">
          <bgColor theme="0" tint="-0.14996795556505021"/>
        </patternFill>
      </fill>
    </dxf>
    <dxf>
      <fill>
        <patternFill>
          <bgColor theme="0" tint="-0.14996795556505021"/>
        </patternFill>
      </fill>
    </dxf>
    <dxf>
      <font>
        <b val="0"/>
        <i/>
      </font>
      <fill>
        <patternFill>
          <bgColor theme="4" tint="0.79998168889431442"/>
        </patternFill>
      </fill>
    </dxf>
    <dxf>
      <font>
        <b/>
        <i/>
        <color rgb="FFFF0000"/>
      </font>
    </dxf>
    <dxf>
      <fill>
        <patternFill>
          <bgColor theme="0" tint="-0.14996795556505021"/>
        </patternFill>
      </fill>
    </dxf>
    <dxf>
      <font>
        <b val="0"/>
        <i/>
      </font>
      <fill>
        <patternFill>
          <bgColor theme="4" tint="0.79998168889431442"/>
        </patternFill>
      </fill>
    </dxf>
    <dxf>
      <font>
        <b/>
        <i/>
      </font>
      <fill>
        <patternFill patternType="solid">
          <bgColor theme="0" tint="-0.14996795556505021"/>
        </patternFill>
      </fill>
    </dxf>
    <dxf>
      <fill>
        <patternFill>
          <bgColor theme="0" tint="-0.14996795556505021"/>
        </patternFill>
      </fill>
    </dxf>
    <dxf>
      <font>
        <b val="0"/>
        <i/>
      </font>
      <fill>
        <patternFill>
          <bgColor theme="4" tint="0.79998168889431442"/>
        </patternFill>
      </fill>
    </dxf>
    <dxf>
      <font>
        <b/>
        <i/>
        <color rgb="FFFF0000"/>
      </font>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247651</xdr:colOff>
      <xdr:row>3</xdr:row>
      <xdr:rowOff>38101</xdr:rowOff>
    </xdr:from>
    <xdr:ext cx="5629275" cy="485774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696701" y="542926"/>
          <a:ext cx="5629275" cy="485774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rtl="0" fontAlgn="base"/>
          <a:r>
            <a:rPr lang="en-AU" sz="1100" b="1" i="0">
              <a:solidFill>
                <a:schemeClr val="dk1"/>
              </a:solidFill>
              <a:effectLst/>
              <a:latin typeface="+mn-lt"/>
              <a:ea typeface="+mn-ea"/>
              <a:cs typeface="+mn-cs"/>
            </a:rPr>
            <a:t>Enrolment Guidelines</a:t>
          </a:r>
        </a:p>
        <a:p>
          <a:pPr algn="ctr" rtl="0" fontAlgn="base"/>
          <a:r>
            <a:rPr lang="en-AU" sz="1100" b="1" i="0">
              <a:solidFill>
                <a:schemeClr val="dk1"/>
              </a:solidFill>
              <a:effectLst/>
              <a:latin typeface="+mn-lt"/>
              <a:ea typeface="+mn-ea"/>
              <a:cs typeface="+mn-cs"/>
            </a:rPr>
            <a:t>Bachelor of Applied Science (Interior Architecture) (Honours) (OpenUnis)</a:t>
          </a:r>
        </a:p>
        <a:p>
          <a:pPr algn="ctr" rtl="0" fontAlgn="base"/>
          <a:endParaRPr lang="en-AU" sz="1100" b="1" i="0">
            <a:solidFill>
              <a:schemeClr val="dk1"/>
            </a:solidFill>
            <a:effectLst/>
            <a:latin typeface="+mn-lt"/>
            <a:ea typeface="+mn-ea"/>
            <a:cs typeface="+mn-cs"/>
          </a:endParaRPr>
        </a:p>
        <a:p>
          <a:pPr algn="ctr" rtl="0" fontAlgn="base"/>
          <a:r>
            <a:rPr lang="en-AU" sz="1100" b="0" i="1">
              <a:solidFill>
                <a:schemeClr val="dk1"/>
              </a:solidFill>
              <a:effectLst/>
              <a:latin typeface="+mn-lt"/>
              <a:ea typeface="+mn-ea"/>
              <a:cs typeface="+mn-cs"/>
            </a:rPr>
            <a:t>Use the drop-down list to select your Specialisation and Commencing Study Period.</a:t>
          </a: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000">
            <a:effectLst/>
          </a:endParaRPr>
        </a:p>
        <a:p>
          <a:pPr rtl="0" fontAlgn="base"/>
          <a:r>
            <a:rPr lang="en-AU" sz="1100" b="0" i="0">
              <a:solidFill>
                <a:schemeClr val="dk1"/>
              </a:solidFill>
              <a:effectLst/>
              <a:latin typeface="+mn-lt"/>
              <a:ea typeface="+mn-ea"/>
              <a:cs typeface="+mn-cs"/>
            </a:rPr>
            <a:t>If you wish to enrol in a part-time load, </a:t>
          </a:r>
          <a:r>
            <a:rPr lang="en-AU" sz="1100" b="0" i="0" baseline="0">
              <a:solidFill>
                <a:schemeClr val="dk1"/>
              </a:solidFill>
              <a:effectLst/>
              <a:latin typeface="+mn-lt"/>
              <a:ea typeface="+mn-ea"/>
              <a:cs typeface="+mn-cs"/>
            </a:rPr>
            <a:t>please contact your Course Coordinator (Email - interiorarchitecture@curtin.edu.au) to develop an ad hoc study plan.</a:t>
          </a:r>
          <a:endParaRPr lang="en-AU">
            <a:effectLst/>
          </a:endParaRPr>
        </a:p>
        <a:p>
          <a:pPr rtl="0" fontAlgn="base"/>
          <a:endParaRPr lang="en-AU" sz="1000">
            <a:effectLst/>
          </a:endParaRPr>
        </a:p>
        <a:p>
          <a:r>
            <a:rPr lang="en-AU" sz="1100" b="1">
              <a:solidFill>
                <a:schemeClr val="dk1"/>
              </a:solidFill>
              <a:effectLst/>
              <a:latin typeface="+mn-lt"/>
              <a:ea typeface="+mn-ea"/>
              <a:cs typeface="+mn-cs"/>
            </a:rPr>
            <a:t>Pre-requisites</a:t>
          </a:r>
          <a:endParaRPr lang="en-AU" sz="1000">
            <a:effectLst/>
          </a:endParaRPr>
        </a:p>
        <a:p>
          <a:r>
            <a:rPr lang="en-AU" sz="1100">
              <a:solidFill>
                <a:schemeClr val="dk1"/>
              </a:solidFill>
              <a:effectLst/>
              <a:latin typeface="+mn-lt"/>
              <a:ea typeface="+mn-ea"/>
              <a:cs typeface="+mn-cs"/>
            </a:rPr>
            <a:t>Pre-requisite units denoted by * can be enrolled concurrently in the same study period if required by the</a:t>
          </a:r>
          <a:r>
            <a:rPr lang="en-AU" sz="1100" baseline="0">
              <a:solidFill>
                <a:schemeClr val="dk1"/>
              </a:solidFill>
              <a:effectLst/>
              <a:latin typeface="+mn-lt"/>
              <a:ea typeface="+mn-ea"/>
              <a:cs typeface="+mn-cs"/>
            </a:rPr>
            <a:t> Enrolment Planner's specified sequence.</a:t>
          </a:r>
        </a:p>
        <a:p>
          <a:endParaRPr lang="en-AU" sz="1000">
            <a:effectLst/>
          </a:endParaRPr>
        </a:p>
        <a:p>
          <a:pPr rtl="0" eaLnBrk="1" fontAlgn="base" latinLnBrk="0" hangingPunct="1"/>
          <a:r>
            <a:rPr lang="en-AU" sz="1100" b="1">
              <a:solidFill>
                <a:schemeClr val="dk1"/>
              </a:solidFill>
              <a:effectLst/>
              <a:latin typeface="+mn-lt"/>
              <a:ea typeface="+mn-ea"/>
              <a:cs typeface="+mn-cs"/>
            </a:rPr>
            <a:t>Practicum placement</a:t>
          </a:r>
          <a:endParaRPr lang="en-AU">
            <a:effectLst/>
          </a:endParaRPr>
        </a:p>
        <a:p>
          <a:pPr rtl="0" fontAlgn="base"/>
          <a:r>
            <a:rPr lang="en-AU" sz="1100" b="0" i="0">
              <a:solidFill>
                <a:schemeClr val="dk1"/>
              </a:solidFill>
              <a:effectLst/>
              <a:latin typeface="+mn-lt"/>
              <a:ea typeface="+mn-ea"/>
              <a:cs typeface="+mn-cs"/>
            </a:rPr>
            <a:t>Students are required to complete at least 80 hours of relevant work experience before completing the degree. The work experience must be in approved professional roles relevant to the degree</a:t>
          </a:r>
          <a:r>
            <a:rPr lang="en-AU" sz="1100" b="0" i="0" baseline="0">
              <a:solidFill>
                <a:schemeClr val="dk1"/>
              </a:solidFill>
              <a:effectLst/>
              <a:latin typeface="+mn-lt"/>
              <a:ea typeface="+mn-ea"/>
              <a:cs typeface="+mn-cs"/>
            </a:rPr>
            <a:t>.</a:t>
          </a:r>
        </a:p>
        <a:p>
          <a:pPr rtl="0" fontAlgn="base"/>
          <a:endParaRPr lang="en-AU" sz="1000">
            <a:effectLst/>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enrolment, please contact Curtin Connect.</a:t>
          </a:r>
          <a:endParaRPr lang="en-AU" sz="1000">
            <a:effectLst/>
          </a:endParaRP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28576</xdr:colOff>
      <xdr:row>2</xdr:row>
      <xdr:rowOff>219076</xdr:rowOff>
    </xdr:from>
    <xdr:to>
      <xdr:col>21</xdr:col>
      <xdr:colOff>390526</xdr:colOff>
      <xdr:row>3</xdr:row>
      <xdr:rowOff>38101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906626" y="219076"/>
          <a:ext cx="2419350" cy="32385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219076</xdr:colOff>
      <xdr:row>3</xdr:row>
      <xdr:rowOff>57152</xdr:rowOff>
    </xdr:from>
    <xdr:ext cx="5629275" cy="4679614"/>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220451" y="561977"/>
          <a:ext cx="5629275" cy="4679614"/>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rtl="0" fontAlgn="base"/>
          <a:r>
            <a:rPr lang="en-AU" sz="1100" b="1" i="0">
              <a:solidFill>
                <a:schemeClr val="dk1"/>
              </a:solidFill>
              <a:effectLst/>
              <a:latin typeface="+mn-lt"/>
              <a:ea typeface="+mn-ea"/>
              <a:cs typeface="+mn-cs"/>
            </a:rPr>
            <a:t>Enrolment Guidelines</a:t>
          </a:r>
        </a:p>
        <a:p>
          <a:pPr algn="ctr" rtl="0" fontAlgn="base"/>
          <a:r>
            <a:rPr lang="en-AU" sz="1100" b="1" i="0">
              <a:solidFill>
                <a:schemeClr val="dk1"/>
              </a:solidFill>
              <a:effectLst/>
              <a:latin typeface="+mn-lt"/>
              <a:ea typeface="+mn-ea"/>
              <a:cs typeface="+mn-cs"/>
            </a:rPr>
            <a:t>Bachelor of Interior Design (OpenUnis)</a:t>
          </a:r>
        </a:p>
        <a:p>
          <a:pPr rtl="0" fontAlgn="base"/>
          <a:endParaRPr lang="en-AU">
            <a:effectLst/>
          </a:endParaRPr>
        </a:p>
        <a:p>
          <a:pPr algn="ctr" rtl="0" fontAlgn="base"/>
          <a:r>
            <a:rPr lang="en-AU" sz="1100" b="0" i="1">
              <a:solidFill>
                <a:schemeClr val="dk1"/>
              </a:solidFill>
              <a:effectLst/>
              <a:latin typeface="+mn-lt"/>
              <a:ea typeface="+mn-ea"/>
              <a:cs typeface="+mn-cs"/>
            </a:rPr>
            <a:t>Use the drop-down list to select your Specialisation and Commencing Study Period.</a:t>
          </a:r>
          <a:endParaRPr lang="en-AU">
            <a:effectLst/>
          </a:endParaRPr>
        </a:p>
        <a:p>
          <a:pPr algn="ctr" rtl="0" fontAlgn="base"/>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000">
            <a:effectLst/>
          </a:endParaRPr>
        </a:p>
        <a:p>
          <a:pPr rtl="0" fontAlgn="base"/>
          <a:r>
            <a:rPr lang="en-AU" sz="1100" b="0" i="0">
              <a:solidFill>
                <a:schemeClr val="dk1"/>
              </a:solidFill>
              <a:effectLst/>
              <a:latin typeface="+mn-lt"/>
              <a:ea typeface="+mn-ea"/>
              <a:cs typeface="+mn-cs"/>
            </a:rPr>
            <a:t>If you wish to enrol in a part-time load, </a:t>
          </a:r>
          <a:r>
            <a:rPr lang="en-AU" sz="1100" b="0" i="0" baseline="0">
              <a:solidFill>
                <a:schemeClr val="dk1"/>
              </a:solidFill>
              <a:effectLst/>
              <a:latin typeface="+mn-lt"/>
              <a:ea typeface="+mn-ea"/>
              <a:cs typeface="+mn-cs"/>
            </a:rPr>
            <a:t>please contact your Course Coordinator (Email - interiorarchitecture@curtin.edu.au) to develop an ad hoc study plan.</a:t>
          </a:r>
        </a:p>
        <a:p>
          <a:pPr rtl="0" fontAlgn="base"/>
          <a:endParaRPr lang="en-AU" sz="1000">
            <a:effectLst/>
          </a:endParaRPr>
        </a:p>
        <a:p>
          <a:r>
            <a:rPr lang="en-AU" sz="1100" b="1">
              <a:solidFill>
                <a:schemeClr val="dk1"/>
              </a:solidFill>
              <a:effectLst/>
              <a:latin typeface="+mn-lt"/>
              <a:ea typeface="+mn-ea"/>
              <a:cs typeface="+mn-cs"/>
            </a:rPr>
            <a:t>Pre-requisites</a:t>
          </a:r>
          <a:endParaRPr lang="en-AU" sz="1000">
            <a:effectLst/>
          </a:endParaRPr>
        </a:p>
        <a:p>
          <a:r>
            <a:rPr lang="en-AU" sz="1100">
              <a:solidFill>
                <a:schemeClr val="dk1"/>
              </a:solidFill>
              <a:effectLst/>
              <a:latin typeface="+mn-lt"/>
              <a:ea typeface="+mn-ea"/>
              <a:cs typeface="+mn-cs"/>
            </a:rPr>
            <a:t>Pre-requisite units denoted by * can be enrolled concurrently in the same study period if required by the</a:t>
          </a:r>
          <a:r>
            <a:rPr lang="en-AU" sz="1100" baseline="0">
              <a:solidFill>
                <a:schemeClr val="dk1"/>
              </a:solidFill>
              <a:effectLst/>
              <a:latin typeface="+mn-lt"/>
              <a:ea typeface="+mn-ea"/>
              <a:cs typeface="+mn-cs"/>
            </a:rPr>
            <a:t> Enrolment Planner's specified sequence.</a:t>
          </a:r>
        </a:p>
        <a:p>
          <a:endParaRPr lang="en-AU" sz="1000">
            <a:effectLst/>
          </a:endParaRPr>
        </a:p>
        <a:p>
          <a:pPr rtl="0" eaLnBrk="1" fontAlgn="base" latinLnBrk="0" hangingPunct="1"/>
          <a:r>
            <a:rPr lang="en-AU" sz="1100" b="1">
              <a:solidFill>
                <a:schemeClr val="dk1"/>
              </a:solidFill>
              <a:effectLst/>
              <a:latin typeface="+mn-lt"/>
              <a:ea typeface="+mn-ea"/>
              <a:cs typeface="+mn-cs"/>
            </a:rPr>
            <a:t>Practicum placement</a:t>
          </a:r>
        </a:p>
        <a:p>
          <a:pPr rtl="0" fontAlgn="base"/>
          <a:r>
            <a:rPr lang="en-AU" sz="1100" b="0" i="0">
              <a:solidFill>
                <a:schemeClr val="dk1"/>
              </a:solidFill>
              <a:effectLst/>
              <a:latin typeface="+mn-lt"/>
              <a:ea typeface="+mn-ea"/>
              <a:cs typeface="+mn-cs"/>
            </a:rPr>
            <a:t>Students are required to complete at least 80 hours of relevant work experience before completing the degree. The work experience must be in approved professional roles relevant to the degree</a:t>
          </a:r>
          <a:r>
            <a:rPr lang="en-AU" sz="1100" b="0" i="0" baseline="0">
              <a:solidFill>
                <a:schemeClr val="dk1"/>
              </a:solidFill>
              <a:effectLst/>
              <a:latin typeface="+mn-lt"/>
              <a:ea typeface="+mn-ea"/>
              <a:cs typeface="+mn-cs"/>
            </a:rPr>
            <a:t>.</a:t>
          </a:r>
        </a:p>
        <a:p>
          <a:pPr rtl="0" fontAlgn="base"/>
          <a:endParaRPr lang="en-AU" sz="1000">
            <a:effectLst/>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enrolment, please contact Curtin Connect.</a:t>
          </a:r>
          <a:endParaRPr lang="en-AU" sz="1000">
            <a:effectLst/>
          </a:endParaRP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96425"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xdr:colOff>
      <xdr:row>2</xdr:row>
      <xdr:rowOff>238126</xdr:rowOff>
    </xdr:from>
    <xdr:to>
      <xdr:col>21</xdr:col>
      <xdr:colOff>361951</xdr:colOff>
      <xdr:row>3</xdr:row>
      <xdr:rowOff>57151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430376" y="238126"/>
          <a:ext cx="2419350" cy="32385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id="3" name="TableCourses" displayName="TableCourses" ref="A6:G10" totalsRowShown="0" headerRowDxfId="141">
  <autoFilter ref="A6:G10"/>
  <tableColumns count="7">
    <tableColumn id="3" name="Choose your Course" dataDxfId="140"/>
    <tableColumn id="1" name="UDC" dataDxfId="139"/>
    <tableColumn id="2" name="Version" dataDxfId="138"/>
    <tableColumn id="5" name="Credit Points" dataDxfId="137"/>
    <tableColumn id="4" name="Effective Date" dataDxfId="136"/>
    <tableColumn id="6" name="Akari Update" dataDxfId="135"/>
    <tableColumn id="7" name="Availabilities" dataDxfId="134"/>
  </tableColumns>
  <tableStyleInfo name="TableStyleLight8" showFirstColumn="0" showLastColumn="0" showRowStripes="1" showColumnStripes="0"/>
</table>
</file>

<file path=xl/tables/table10.xml><?xml version="1.0" encoding="utf-8"?>
<table xmlns="http://schemas.openxmlformats.org/spreadsheetml/2006/main" id="22" name="Table5356575426181623" displayName="Table5356575426181623" ref="Q70:R76" totalsRowShown="0">
  <autoFilter ref="Q70:R76"/>
  <tableColumns count="2">
    <tableColumn id="1" name="Column1"/>
    <tableColumn id="2" name="Column2"/>
  </tableColumns>
  <tableStyleInfo name="TableStyleLight4" showFirstColumn="0" showLastColumn="0" showRowStripes="1" showColumnStripes="0"/>
</table>
</file>

<file path=xl/tables/table11.xml><?xml version="1.0" encoding="utf-8"?>
<table xmlns="http://schemas.openxmlformats.org/spreadsheetml/2006/main" id="23" name="TableOSCUCONMS" displayName="TableOSCUCONMS" ref="A78:O84" totalsRowShown="0">
  <autoFilter ref="A78:O84"/>
  <sortState ref="A80:R87">
    <sortCondition ref="N10:N18"/>
  </sortState>
  <tableColumns count="15">
    <tableColumn id="1" name="UDC" dataDxfId="52">
      <calculatedColumnFormula>TableOSCUCONMS[[#This Row],[Study Package Code]]</calculatedColumnFormula>
    </tableColumn>
    <tableColumn id="9" name="V" dataDxfId="51">
      <calculatedColumnFormula>TableOSCUCONMS[[#This Row],[Ver]]</calculatedColumnFormula>
    </tableColumn>
    <tableColumn id="10" name="OUA Code" dataDxfId="50">
      <calculatedColumnFormula>LEFT(TableOSCUCONMS[[#This Row],[Structure Line]],(FIND(" ",TableOSCUCONMS[[#This Row],[Structure Line]],1)-1))</calculatedColumnFormula>
    </tableColumn>
    <tableColumn id="11" name="Unit Title" dataDxfId="49">
      <calculatedColumnFormula>MID(TableOSCUCONMS[[#This Row],[Structure Line]],FIND(" ",TableOSCUCONMS[[#This Row],[Structure Line]])+1,256)</calculatedColumnFormula>
    </tableColumn>
    <tableColumn id="12" name="CPs" dataDxfId="48">
      <calculatedColumnFormula>TableOSCUCONMS[[#This Row],[Credit Points]]</calculatedColumnFormula>
    </tableColumn>
    <tableColumn id="13" name="No."/>
    <tableColumn id="2" name="Component Type"/>
    <tableColumn id="3" name="Year Level"/>
    <tableColumn id="4" name="Study Period"/>
    <tableColumn id="5" name="Study Package Code"/>
    <tableColumn id="6" name="Ver"/>
    <tableColumn id="7" name="Structure Line"/>
    <tableColumn id="8" name="Credit Points"/>
    <tableColumn id="14" name="Effective" dataDxfId="47"/>
    <tableColumn id="15" name="Discont." dataDxfId="46"/>
  </tableColumns>
  <tableStyleInfo name="TableStyleLight1" showFirstColumn="0" showLastColumn="0" showRowStripes="1" showColumnStripes="0"/>
</table>
</file>

<file path=xl/tables/table12.xml><?xml version="1.0" encoding="utf-8"?>
<table xmlns="http://schemas.openxmlformats.org/spreadsheetml/2006/main" id="24" name="Table535657542618162325" displayName="Table535657542618162325" ref="Q78:R84" totalsRowShown="0">
  <autoFilter ref="Q78:R84"/>
  <tableColumns count="2">
    <tableColumn id="1" name="Column1"/>
    <tableColumn id="2" name="Column2"/>
  </tableColumns>
  <tableStyleInfo name="TableStyleLight4" showFirstColumn="0" showLastColumn="0" showRowStripes="1" showColumnStripes="0"/>
</table>
</file>

<file path=xl/tables/table13.xml><?xml version="1.0" encoding="utf-8"?>
<table xmlns="http://schemas.openxmlformats.org/spreadsheetml/2006/main" id="25" name="TableOSCUDIGDE" displayName="TableOSCUDIGDE" ref="A86:O90" totalsRowShown="0">
  <autoFilter ref="A86:O90"/>
  <sortState ref="A88:R95">
    <sortCondition ref="N10:N18"/>
  </sortState>
  <tableColumns count="15">
    <tableColumn id="1" name="UDC" dataDxfId="45">
      <calculatedColumnFormula>TableOSCUDIGDE[[#This Row],[Study Package Code]]</calculatedColumnFormula>
    </tableColumn>
    <tableColumn id="9" name="V" dataDxfId="44">
      <calculatedColumnFormula>TableOSCUDIGDE[[#This Row],[Ver]]</calculatedColumnFormula>
    </tableColumn>
    <tableColumn id="10" name="OUA Code" dataDxfId="43">
      <calculatedColumnFormula>LEFT(TableOSCUDIGDE[[#This Row],[Structure Line]],(FIND(" ",TableOSCUDIGDE[[#This Row],[Structure Line]],1)-1))</calculatedColumnFormula>
    </tableColumn>
    <tableColumn id="11" name="Unit Title" dataDxfId="42">
      <calculatedColumnFormula>MID(TableOSCUDIGDE[[#This Row],[Structure Line]],FIND(" ",TableOSCUDIGDE[[#This Row],[Structure Line]])+1,256)</calculatedColumnFormula>
    </tableColumn>
    <tableColumn id="12" name="CPs" dataDxfId="41">
      <calculatedColumnFormula>TableOSCUDIGDE[[#This Row],[Credit Points]]</calculatedColumnFormula>
    </tableColumn>
    <tableColumn id="13" name="No."/>
    <tableColumn id="2" name="Component Type"/>
    <tableColumn id="3" name="Year Level"/>
    <tableColumn id="4" name="Study Period"/>
    <tableColumn id="5" name="Study Package Code"/>
    <tableColumn id="6" name="Ver"/>
    <tableColumn id="7" name="Structure Line"/>
    <tableColumn id="8" name="Credit Points"/>
    <tableColumn id="14" name="Effective" dataDxfId="40"/>
    <tableColumn id="15" name="Discont." dataDxfId="39"/>
  </tableColumns>
  <tableStyleInfo name="TableStyleLight1" showFirstColumn="0" showLastColumn="0" showRowStripes="1" showColumnStripes="0"/>
</table>
</file>

<file path=xl/tables/table14.xml><?xml version="1.0" encoding="utf-8"?>
<table xmlns="http://schemas.openxmlformats.org/spreadsheetml/2006/main" id="26" name="Table53565754261816232527" displayName="Table53565754261816232527" ref="Q86:R90" totalsRowShown="0">
  <autoFilter ref="Q86:R90"/>
  <tableColumns count="2">
    <tableColumn id="1" name="Column1"/>
    <tableColumn id="2" name="Column2"/>
  </tableColumns>
  <tableStyleInfo name="TableStyleLight4" showFirstColumn="0" showLastColumn="0" showRowStripes="1" showColumnStripes="0"/>
</table>
</file>

<file path=xl/tables/table15.xml><?xml version="1.0" encoding="utf-8"?>
<table xmlns="http://schemas.openxmlformats.org/spreadsheetml/2006/main" id="27" name="TableOSCUPLGEO" displayName="TableOSCUPLGEO" ref="A92:O98" totalsRowShown="0">
  <autoFilter ref="A92:O98"/>
  <sortState ref="A94:R101">
    <sortCondition ref="N10:N18"/>
  </sortState>
  <tableColumns count="15">
    <tableColumn id="1" name="UDC" dataDxfId="38">
      <calculatedColumnFormula>TableOSCUPLGEO[[#This Row],[Study Package Code]]</calculatedColumnFormula>
    </tableColumn>
    <tableColumn id="9" name="V" dataDxfId="37">
      <calculatedColumnFormula>TableOSCUPLGEO[[#This Row],[Ver]]</calculatedColumnFormula>
    </tableColumn>
    <tableColumn id="10" name="OUA Code" dataDxfId="36">
      <calculatedColumnFormula>LEFT(TableOSCUPLGEO[[#This Row],[Structure Line]],(FIND(" ",TableOSCUPLGEO[[#This Row],[Structure Line]],1)-1))</calculatedColumnFormula>
    </tableColumn>
    <tableColumn id="11" name="Unit Title" dataDxfId="35">
      <calculatedColumnFormula>MID(TableOSCUPLGEO[[#This Row],[Structure Line]],FIND(" ",TableOSCUPLGEO[[#This Row],[Structure Line]])+1,256)</calculatedColumnFormula>
    </tableColumn>
    <tableColumn id="12" name="CPs" dataDxfId="34">
      <calculatedColumnFormula>TableOSCUPLGEO[[#This Row],[Credit Points]]</calculatedColumnFormula>
    </tableColumn>
    <tableColumn id="13" name="No."/>
    <tableColumn id="2" name="Component Type"/>
    <tableColumn id="3" name="Year Level"/>
    <tableColumn id="4" name="Study Period"/>
    <tableColumn id="5" name="Study Package Code"/>
    <tableColumn id="6" name="Ver"/>
    <tableColumn id="7" name="Structure Line"/>
    <tableColumn id="8" name="Credit Points"/>
    <tableColumn id="14" name="Effective" dataDxfId="33"/>
    <tableColumn id="15" name="Discont." dataDxfId="32"/>
  </tableColumns>
  <tableStyleInfo name="TableStyleLight1" showFirstColumn="0" showLastColumn="0" showRowStripes="1" showColumnStripes="0"/>
</table>
</file>

<file path=xl/tables/table16.xml><?xml version="1.0" encoding="utf-8"?>
<table xmlns="http://schemas.openxmlformats.org/spreadsheetml/2006/main" id="28" name="Table535657542618162329" displayName="Table535657542618162329" ref="Q92:R98" totalsRowShown="0">
  <autoFilter ref="Q92:R98"/>
  <tableColumns count="2">
    <tableColumn id="1" name="Column1"/>
    <tableColumn id="2" name="Column2"/>
  </tableColumns>
  <tableStyleInfo name="TableStyleLight4" showFirstColumn="0" showLastColumn="0" showRowStripes="1" showColumnStripes="0"/>
</table>
</file>

<file path=xl/tables/table17.xml><?xml version="1.0" encoding="utf-8"?>
<table xmlns="http://schemas.openxmlformats.org/spreadsheetml/2006/main" id="29" name="TableOSEUARCHT" displayName="TableOSEUARCHT" ref="A100:O106" totalsRowShown="0">
  <autoFilter ref="A100:O106"/>
  <sortState ref="A102:R109">
    <sortCondition ref="N10:N18"/>
  </sortState>
  <tableColumns count="15">
    <tableColumn id="1" name="UDC" dataDxfId="31">
      <calculatedColumnFormula>TableOSEUARCHT[[#This Row],[Study Package Code]]</calculatedColumnFormula>
    </tableColumn>
    <tableColumn id="9" name="V" dataDxfId="30">
      <calculatedColumnFormula>TableOSEUARCHT[[#This Row],[Ver]]</calculatedColumnFormula>
    </tableColumn>
    <tableColumn id="10" name="OUA Code" dataDxfId="29">
      <calculatedColumnFormula>LEFT(TableOSEUARCHT[[#This Row],[Structure Line]],(FIND(" ",TableOSEUARCHT[[#This Row],[Structure Line]],1)-1))</calculatedColumnFormula>
    </tableColumn>
    <tableColumn id="11" name="Unit Title" dataDxfId="28">
      <calculatedColumnFormula>MID(TableOSEUARCHT[[#This Row],[Structure Line]],FIND(" ",TableOSEUARCHT[[#This Row],[Structure Line]])+1,256)</calculatedColumnFormula>
    </tableColumn>
    <tableColumn id="12" name="CPs" dataDxfId="27">
      <calculatedColumnFormula>TableOSEUARCHT[[#This Row],[Credit Points]]</calculatedColumnFormula>
    </tableColumn>
    <tableColumn id="13" name="No."/>
    <tableColumn id="2" name="Component Type"/>
    <tableColumn id="3" name="Year Level"/>
    <tableColumn id="4" name="Study Period"/>
    <tableColumn id="5" name="Study Package Code"/>
    <tableColumn id="6" name="Ver"/>
    <tableColumn id="7" name="Structure Line"/>
    <tableColumn id="8" name="Credit Points"/>
    <tableColumn id="14" name="Effective" dataDxfId="26"/>
    <tableColumn id="15" name="Discont." dataDxfId="25"/>
  </tableColumns>
  <tableStyleInfo name="TableStyleLight1" showFirstColumn="0" showLastColumn="0" showRowStripes="1" showColumnStripes="0"/>
</table>
</file>

<file path=xl/tables/table18.xml><?xml version="1.0" encoding="utf-8"?>
<table xmlns="http://schemas.openxmlformats.org/spreadsheetml/2006/main" id="30" name="Table53565754261816232931" displayName="Table53565754261816232931" ref="Q100:R106" totalsRowShown="0">
  <autoFilter ref="Q100:R106"/>
  <tableColumns count="2">
    <tableColumn id="1" name="Column1"/>
    <tableColumn id="2" name="Column2"/>
  </tableColumns>
  <tableStyleInfo name="TableStyleLight4" showFirstColumn="0" showLastColumn="0" showRowStripes="1" showColumnStripes="0"/>
</table>
</file>

<file path=xl/tables/table19.xml><?xml version="1.0" encoding="utf-8"?>
<table xmlns="http://schemas.openxmlformats.org/spreadsheetml/2006/main" id="31" name="TableOUINDSGN" displayName="TableOUINDSGN" ref="A109:O135" totalsRowShown="0">
  <autoFilter ref="A109:O135"/>
  <sortState ref="A110:R113">
    <sortCondition ref="O2:O6"/>
  </sortState>
  <tableColumns count="15">
    <tableColumn id="1" name="UDC" dataDxfId="24">
      <calculatedColumnFormula>TableOUINDSGN[[#This Row],[Study Package Code]]</calculatedColumnFormula>
    </tableColumn>
    <tableColumn id="9" name="V" dataDxfId="23">
      <calculatedColumnFormula>TableOUINDSGN[[#This Row],[Ver]]</calculatedColumnFormula>
    </tableColumn>
    <tableColumn id="10" name="OUA Code" dataDxfId="22">
      <calculatedColumnFormula>LEFT(TableOUINDSGN[[#This Row],[Structure Line]],(FIND(" ",TableOUINDSGN[[#This Row],[Structure Line]],1)-1))</calculatedColumnFormula>
    </tableColumn>
    <tableColumn id="11" name="Unit Title" dataDxfId="21">
      <calculatedColumnFormula>MID(TableOUINDSGN[[#This Row],[Structure Line]],FIND(" ",TableOUINDSGN[[#This Row],[Structure Line]])+1,256)</calculatedColumnFormula>
    </tableColumn>
    <tableColumn id="12" name="CPs" dataDxfId="20">
      <calculatedColumnFormula>TableOUINDSGN[[#This Row],[Credit Points]]</calculatedColumnFormula>
    </tableColumn>
    <tableColumn id="13" name="No."/>
    <tableColumn id="2" name="Component Type"/>
    <tableColumn id="3" name="Year Level"/>
    <tableColumn id="4" name="Study Period"/>
    <tableColumn id="5" name="Study Package Code"/>
    <tableColumn id="6" name="Ver" dataDxfId="19"/>
    <tableColumn id="7" name="Structure Line" dataDxfId="18"/>
    <tableColumn id="8" name="Credit Points" dataDxfId="17"/>
    <tableColumn id="14" name="Effective" dataDxfId="16"/>
    <tableColumn id="15" name="Discont." dataDxfId="15"/>
  </tableColumns>
  <tableStyleInfo name="TableStyleLight1" showFirstColumn="0" showLastColumn="0" showRowStripes="1" showColumnStripes="0"/>
</table>
</file>

<file path=xl/tables/table2.xml><?xml version="1.0" encoding="utf-8"?>
<table xmlns="http://schemas.openxmlformats.org/spreadsheetml/2006/main" id="4" name="TableStudyPeriod" displayName="TableStudyPeriod" ref="A13:E17" totalsRowShown="0" dataDxfId="133">
  <autoFilter ref="A13:E17"/>
  <tableColumns count="5">
    <tableColumn id="1" name="Choose your commencing study period (drop-down list)" dataDxfId="132"/>
    <tableColumn id="2" name="START" dataDxfId="131"/>
    <tableColumn id="3" name="Next" dataDxfId="130"/>
    <tableColumn id="4" name="Next2" dataDxfId="129"/>
    <tableColumn id="5" name="Next3" dataDxfId="128"/>
  </tableColumns>
  <tableStyleInfo name="TableStyleLight8" showFirstColumn="0" showLastColumn="0" showRowStripes="1" showColumnStripes="0"/>
</table>
</file>

<file path=xl/tables/table20.xml><?xml version="1.0" encoding="utf-8"?>
<table xmlns="http://schemas.openxmlformats.org/spreadsheetml/2006/main" id="32" name="Table53565754261833" displayName="Table53565754261833" ref="Q109:R135" totalsRowShown="0">
  <autoFilter ref="Q109:R135"/>
  <tableColumns count="2">
    <tableColumn id="1" name="Column1"/>
    <tableColumn id="2" name="Column2"/>
  </tableColumns>
  <tableStyleInfo name="TableStyleLight4" showFirstColumn="0" showLastColumn="0" showRowStripes="1" showColumnStripes="0"/>
</table>
</file>

<file path=xl/tables/table21.xml><?xml version="1.0" encoding="utf-8"?>
<table xmlns="http://schemas.openxmlformats.org/spreadsheetml/2006/main" id="33" name="TableOBINDSGN" displayName="TableOBINDSGN" ref="A137:O163" totalsRowShown="0">
  <autoFilter ref="A137:O163"/>
  <sortState ref="A138:R141">
    <sortCondition ref="O2:O6"/>
  </sortState>
  <tableColumns count="15">
    <tableColumn id="1" name="UDC" dataDxfId="14">
      <calculatedColumnFormula>TableOBINDSGN[[#This Row],[Study Package Code]]</calculatedColumnFormula>
    </tableColumn>
    <tableColumn id="9" name="V" dataDxfId="13">
      <calculatedColumnFormula>TableOBINDSGN[[#This Row],[Ver]]</calculatedColumnFormula>
    </tableColumn>
    <tableColumn id="10" name="OUA Code" dataDxfId="12">
      <calculatedColumnFormula>LEFT(TableOBINDSGN[[#This Row],[Structure Line]],(FIND(" ",TableOBINDSGN[[#This Row],[Structure Line]],1)-1))</calculatedColumnFormula>
    </tableColumn>
    <tableColumn id="11" name="Unit Title" dataDxfId="11">
      <calculatedColumnFormula>MID(TableOBINDSGN[[#This Row],[Structure Line]],FIND(" ",TableOBINDSGN[[#This Row],[Structure Line]])+1,256)</calculatedColumnFormula>
    </tableColumn>
    <tableColumn id="12" name="CPs" dataDxfId="10">
      <calculatedColumnFormula>TableOBINDSGN[[#This Row],[Credit Points]]</calculatedColumnFormula>
    </tableColumn>
    <tableColumn id="13" name="No."/>
    <tableColumn id="2" name="Component Type"/>
    <tableColumn id="3" name="Year Level"/>
    <tableColumn id="4" name="Study Period"/>
    <tableColumn id="5" name="Study Package Code"/>
    <tableColumn id="6" name="Ver" dataDxfId="9"/>
    <tableColumn id="7" name="Structure Line" dataDxfId="8"/>
    <tableColumn id="8" name="Credit Points" dataDxfId="7"/>
    <tableColumn id="14" name="Effective" dataDxfId="6"/>
    <tableColumn id="15" name="Discont." dataDxfId="5"/>
  </tableColumns>
  <tableStyleInfo name="TableStyleLight1" showFirstColumn="0" showLastColumn="0" showRowStripes="1" showColumnStripes="0"/>
</table>
</file>

<file path=xl/tables/table22.xml><?xml version="1.0" encoding="utf-8"?>
<table xmlns="http://schemas.openxmlformats.org/spreadsheetml/2006/main" id="34" name="Table5356575426183335" displayName="Table5356575426183335" ref="Q137:R163" totalsRowShown="0">
  <autoFilter ref="Q137:R163"/>
  <tableColumns count="2">
    <tableColumn id="1" name="Column1"/>
    <tableColumn id="2" name="Column2"/>
  </tableColumns>
  <tableStyleInfo name="TableStyleLight4" showFirstColumn="0" showLastColumn="0" showRowStripes="1" showColumnStripes="0"/>
</table>
</file>

<file path=xl/tables/table23.xml><?xml version="1.0" encoding="utf-8"?>
<table xmlns="http://schemas.openxmlformats.org/spreadsheetml/2006/main" id="13" name="TableAvailabilities" displayName="TableAvailabilities" ref="A3:E41" totalsRowShown="0">
  <autoFilter ref="A3:E41"/>
  <sortState ref="A4:E45">
    <sortCondition ref="A3:A45"/>
  </sortState>
  <tableColumns count="5">
    <tableColumn id="1" name="Row Labels"/>
    <tableColumn id="2" name="OpenUnis SP 1" dataDxfId="4"/>
    <tableColumn id="3" name="OpenUnis SP 2" dataDxfId="3"/>
    <tableColumn id="4" name="OpenUnis SP 3" dataDxfId="2"/>
    <tableColumn id="5" name="OpenUnis SP 4" dataDxfId="1"/>
  </tableColumns>
  <tableStyleInfo name="TableStyleLight7" showFirstColumn="0" showLastColumn="0" showRowStripes="1" showColumnStripes="0"/>
</table>
</file>

<file path=xl/tables/table3.xml><?xml version="1.0" encoding="utf-8"?>
<table xmlns="http://schemas.openxmlformats.org/spreadsheetml/2006/main" id="5" name="TableSpecialisations" displayName="TableSpecialisations" ref="A20:F25" totalsRowShown="0" dataDxfId="127">
  <autoFilter ref="A20:F25"/>
  <tableColumns count="6">
    <tableColumn id="1" name="Choose your Specialisation (drop-down list)" dataDxfId="126"/>
    <tableColumn id="2" name="UDC" dataDxfId="125"/>
    <tableColumn id="3" name="Version" dataDxfId="124">
      <calculatedColumnFormula>B59</calculatedColumnFormula>
    </tableColumn>
    <tableColumn id="4" name="Credit Points" dataDxfId="123"/>
    <tableColumn id="5" name="Effective Date" dataDxfId="122"/>
    <tableColumn id="6" name="Akari Update" dataDxfId="121"/>
  </tableColumns>
  <tableStyleInfo name="TableStyleLight8" showFirstColumn="0" showLastColumn="0" showRowStripes="1" showColumnStripes="0"/>
</table>
</file>

<file path=xl/tables/table4.xml><?xml version="1.0" encoding="utf-8"?>
<table xmlns="http://schemas.openxmlformats.org/spreadsheetml/2006/main" id="2" name="TableHandbook" displayName="TableHandbook" ref="A3:T64" totalsRowShown="0" headerRowDxfId="119" dataDxfId="117" headerRowBorderDxfId="118" tableBorderDxfId="116">
  <autoFilter ref="A3:T64"/>
  <sortState ref="A4:T64">
    <sortCondition ref="A3:A64"/>
  </sortState>
  <tableColumns count="20">
    <tableColumn id="1" name="UDC" dataDxfId="115"/>
    <tableColumn id="2" name="Ver" dataDxfId="114"/>
    <tableColumn id="3" name="OUA Cd" dataDxfId="113"/>
    <tableColumn id="4" name="Title" dataDxfId="112"/>
    <tableColumn id="5" name="Credits" dataDxfId="111"/>
    <tableColumn id="6" name="Pre-reqs" dataDxfId="110"/>
    <tableColumn id="12" name="SP1" dataDxfId="109">
      <calculatedColumnFormula>IFERROR(IF(VLOOKUP(TableHandbook[[#This Row],[UDC]],TableAvailabilities[],2,FALSE)&gt;0,"Y",""),"")</calculatedColumnFormula>
    </tableColumn>
    <tableColumn id="13" name="SP2" dataDxfId="108">
      <calculatedColumnFormula>IFERROR(IF(VLOOKUP(TableHandbook[[#This Row],[UDC]],TableAvailabilities[],3,FALSE)&gt;0,"Y",""),"")</calculatedColumnFormula>
    </tableColumn>
    <tableColumn id="14" name="SP3" dataDxfId="107">
      <calculatedColumnFormula>IFERROR(IF(VLOOKUP(TableHandbook[[#This Row],[UDC]],TableAvailabilities[],4,FALSE)&gt;0,"Y",""),"")</calculatedColumnFormula>
    </tableColumn>
    <tableColumn id="15" name="SP4" dataDxfId="106">
      <calculatedColumnFormula>IFERROR(IF(VLOOKUP(TableHandbook[[#This Row],[UDC]],TableAvailabilities[],5,FALSE)&gt;0,"Y",""),"")</calculatedColumnFormula>
    </tableColumn>
    <tableColumn id="16" name="Notes" dataDxfId="105"/>
    <tableColumn id="8" name="EO-INARCH" dataDxfId="104">
      <calculatedColumnFormula>IFERROR(VLOOKUP(TableHandbook[[#This Row],[UDC]],TableEOINARCH[],7,FALSE),"")</calculatedColumnFormula>
    </tableColumn>
    <tableColumn id="9" name="EO-INARCH1" dataDxfId="103">
      <calculatedColumnFormula>IFERROR(VLOOKUP(TableHandbook[[#This Row],[UDC]],TableEOINARCH1[],7,FALSE),"")</calculatedColumnFormula>
    </tableColumn>
    <tableColumn id="11" name="OU-INDSGN" dataDxfId="102">
      <calculatedColumnFormula>IFERROR(VLOOKUP(TableHandbook[[#This Row],[UDC]],TableOUINDSGN[],7,FALSE),"")</calculatedColumnFormula>
    </tableColumn>
    <tableColumn id="18" name="OB-INDSGN" dataDxfId="101">
      <calculatedColumnFormula>IFERROR(VLOOKUP(TableHandbook[[#This Row],[UDC]],TableOBINDSGN[],7,FALSE),"")</calculatedColumnFormula>
    </tableColumn>
    <tableColumn id="10" name="OSCU-ANGAD" dataDxfId="100">
      <calculatedColumnFormula>IFERROR(VLOOKUP(TableHandbook[[#This Row],[UDC]],TableOSCUANGAD[],7,FALSE),"")</calculatedColumnFormula>
    </tableColumn>
    <tableColumn id="20" name="OSCU-CONMS" dataDxfId="99">
      <calculatedColumnFormula>IFERROR(VLOOKUP(TableHandbook[[#This Row],[UDC]],TableOSCUCONMS[],7,FALSE),"")</calculatedColumnFormula>
    </tableColumn>
    <tableColumn id="21" name="OSCU-DIGDE" dataDxfId="98">
      <calculatedColumnFormula>IFERROR(VLOOKUP(TableHandbook[[#This Row],[UDC]],TableOSCUDIGDE[],7,FALSE),"")</calculatedColumnFormula>
    </tableColumn>
    <tableColumn id="17" name="OSCU-PLGEO" dataDxfId="97">
      <calculatedColumnFormula>IFERROR(VLOOKUP(TableHandbook[[#This Row],[UDC]],TableOSCUPLGEO[],7,FALSE),"")</calculatedColumnFormula>
    </tableColumn>
    <tableColumn id="7" name="OSEU-ARCHT" dataDxfId="96">
      <calculatedColumnFormula>IFERROR(VLOOKUP(TableHandbook[[#This Row],[UDC]],TableOSEUARCHT[],7,FALSE),"")</calculatedColumnFormula>
    </tableColumn>
  </tableColumns>
  <tableStyleInfo name="TableStyleLight8" showFirstColumn="0" showLastColumn="0" showRowStripes="1" showColumnStripes="0"/>
</table>
</file>

<file path=xl/tables/table5.xml><?xml version="1.0" encoding="utf-8"?>
<table xmlns="http://schemas.openxmlformats.org/spreadsheetml/2006/main" id="1" name="TableEOINARCH" displayName="TableEOINARCH" ref="A2:O34" totalsRowShown="0">
  <autoFilter ref="A2:O34"/>
  <sortState ref="AE3:AV6">
    <sortCondition ref="AS2:AS6"/>
  </sortState>
  <tableColumns count="15">
    <tableColumn id="1" name="UDC" dataDxfId="79">
      <calculatedColumnFormula>TableEOINARCH[[#This Row],[Study Package Code]]</calculatedColumnFormula>
    </tableColumn>
    <tableColumn id="9" name="V" dataDxfId="78">
      <calculatedColumnFormula>TableEOINARCH[[#This Row],[Ver]]</calculatedColumnFormula>
    </tableColumn>
    <tableColumn id="10" name="OUA Code" dataDxfId="77">
      <calculatedColumnFormula>LEFT(TableEOINARCH[[#This Row],[Structure Line]],(FIND(" ",TableEOINARCH[[#This Row],[Structure Line]],1)-1))</calculatedColumnFormula>
    </tableColumn>
    <tableColumn id="11" name="Unit Title" dataDxfId="76">
      <calculatedColumnFormula>MID(TableEOINARCH[[#This Row],[Structure Line]],FIND(" ",TableEOINARCH[[#This Row],[Structure Line]])+1,256)</calculatedColumnFormula>
    </tableColumn>
    <tableColumn id="12" name="CPs" dataDxfId="75">
      <calculatedColumnFormula>TableEOINARCH[[#This Row],[Credit Points]]</calculatedColumnFormula>
    </tableColumn>
    <tableColumn id="13" name="No."/>
    <tableColumn id="2" name="Component Type"/>
    <tableColumn id="3" name="Year Level"/>
    <tableColumn id="4" name="Study Period"/>
    <tableColumn id="5" name="Study Package Code"/>
    <tableColumn id="6" name="Ver" dataDxfId="74"/>
    <tableColumn id="7" name="Structure Line" dataDxfId="73"/>
    <tableColumn id="8" name="Credit Points" dataDxfId="72"/>
    <tableColumn id="14" name="Effective" dataDxfId="71"/>
    <tableColumn id="15" name="Discont." dataDxfId="70"/>
  </tableColumns>
  <tableStyleInfo name="TableStyleLight1" showFirstColumn="0" showLastColumn="0" showRowStripes="1" showColumnStripes="0"/>
</table>
</file>

<file path=xl/tables/table6.xml><?xml version="1.0" encoding="utf-8"?>
<table xmlns="http://schemas.openxmlformats.org/spreadsheetml/2006/main" id="10" name="Table535657542618" displayName="Table535657542618" ref="Q2:R34" totalsRowShown="0">
  <autoFilter ref="Q2:R34"/>
  <tableColumns count="2">
    <tableColumn id="1" name="Column1"/>
    <tableColumn id="2" name="Column2"/>
  </tableColumns>
  <tableStyleInfo name="TableStyleLight4" showFirstColumn="0" showLastColumn="0" showRowStripes="1" showColumnStripes="0"/>
</table>
</file>

<file path=xl/tables/table7.xml><?xml version="1.0" encoding="utf-8"?>
<table xmlns="http://schemas.openxmlformats.org/spreadsheetml/2006/main" id="19" name="TableEOINARCH1" displayName="TableEOINARCH1" ref="A36:O68" totalsRowShown="0">
  <autoFilter ref="A36:O68"/>
  <sortState ref="A37:R40">
    <sortCondition ref="O2:O6"/>
  </sortState>
  <tableColumns count="15">
    <tableColumn id="1" name="UDC" dataDxfId="69">
      <calculatedColumnFormula>TableEOINARCH1[[#This Row],[Study Package Code]]</calculatedColumnFormula>
    </tableColumn>
    <tableColumn id="9" name="V" dataDxfId="68">
      <calculatedColumnFormula>TableEOINARCH1[[#This Row],[Ver]]</calculatedColumnFormula>
    </tableColumn>
    <tableColumn id="10" name="OUA Code" dataDxfId="67">
      <calculatedColumnFormula>LEFT(TableEOINARCH1[[#This Row],[Structure Line]],(FIND(" ",TableEOINARCH1[[#This Row],[Structure Line]],1)-1))</calculatedColumnFormula>
    </tableColumn>
    <tableColumn id="11" name="Unit Title" dataDxfId="66">
      <calculatedColumnFormula>MID(TableEOINARCH1[[#This Row],[Structure Line]],FIND(" ",TableEOINARCH1[[#This Row],[Structure Line]])+1,256)</calculatedColumnFormula>
    </tableColumn>
    <tableColumn id="12" name="CPs" dataDxfId="65">
      <calculatedColumnFormula>TableEOINARCH1[[#This Row],[Credit Points]]</calculatedColumnFormula>
    </tableColumn>
    <tableColumn id="13" name="No."/>
    <tableColumn id="2" name="Component Type"/>
    <tableColumn id="3" name="Year Level"/>
    <tableColumn id="4" name="Study Period"/>
    <tableColumn id="5" name="Study Package Code"/>
    <tableColumn id="6" name="Ver" dataDxfId="64"/>
    <tableColumn id="7" name="Structure Line" dataDxfId="63"/>
    <tableColumn id="8" name="Credit Points" dataDxfId="62"/>
    <tableColumn id="14" name="Effective" dataDxfId="61"/>
    <tableColumn id="15" name="Discont." dataDxfId="60"/>
  </tableColumns>
  <tableStyleInfo name="TableStyleLight1" showFirstColumn="0" showLastColumn="0" showRowStripes="1" showColumnStripes="0"/>
</table>
</file>

<file path=xl/tables/table8.xml><?xml version="1.0" encoding="utf-8"?>
<table xmlns="http://schemas.openxmlformats.org/spreadsheetml/2006/main" id="20" name="Table53565754261821" displayName="Table53565754261821" ref="Q36:R68" totalsRowShown="0">
  <autoFilter ref="Q36:R68"/>
  <tableColumns count="2">
    <tableColumn id="1" name="Column1"/>
    <tableColumn id="2" name="Column2"/>
  </tableColumns>
  <tableStyleInfo name="TableStyleLight4" showFirstColumn="0" showLastColumn="0" showRowStripes="1" showColumnStripes="0"/>
</table>
</file>

<file path=xl/tables/table9.xml><?xml version="1.0" encoding="utf-8"?>
<table xmlns="http://schemas.openxmlformats.org/spreadsheetml/2006/main" id="21" name="TableOSCUANGAD" displayName="TableOSCUANGAD" ref="A70:O76" totalsRowShown="0">
  <autoFilter ref="A70:O76"/>
  <sortState ref="A72:R79">
    <sortCondition ref="N10:N18"/>
  </sortState>
  <tableColumns count="15">
    <tableColumn id="1" name="UDC" dataDxfId="59">
      <calculatedColumnFormula>TableOSCUANGAD[[#This Row],[Study Package Code]]</calculatedColumnFormula>
    </tableColumn>
    <tableColumn id="9" name="V" dataDxfId="58">
      <calculatedColumnFormula>TableOSCUANGAD[[#This Row],[Ver]]</calculatedColumnFormula>
    </tableColumn>
    <tableColumn id="10" name="OUA Code" dataDxfId="57">
      <calculatedColumnFormula>LEFT(TableOSCUANGAD[[#This Row],[Structure Line]],(FIND(" ",TableOSCUANGAD[[#This Row],[Structure Line]],1)-1))</calculatedColumnFormula>
    </tableColumn>
    <tableColumn id="11" name="Unit Title" dataDxfId="56">
      <calculatedColumnFormula>MID(TableOSCUANGAD[[#This Row],[Structure Line]],FIND(" ",TableOSCUANGAD[[#This Row],[Structure Line]])+1,256)</calculatedColumnFormula>
    </tableColumn>
    <tableColumn id="12" name="CPs" dataDxfId="55">
      <calculatedColumnFormula>TableOSCUANGAD[[#This Row],[Credit Points]]</calculatedColumnFormula>
    </tableColumn>
    <tableColumn id="13" name="No."/>
    <tableColumn id="2" name="Component Type"/>
    <tableColumn id="3" name="Year Level"/>
    <tableColumn id="4" name="Study Period"/>
    <tableColumn id="5" name="Study Package Code"/>
    <tableColumn id="6" name="Ver"/>
    <tableColumn id="7" name="Structure Line"/>
    <tableColumn id="8" name="Credit Points"/>
    <tableColumn id="14" name="Effective" dataDxfId="54"/>
    <tableColumn id="15" name="Discont." dataDxfId="5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11.xml"/><Relationship Id="rId13" Type="http://schemas.openxmlformats.org/officeDocument/2006/relationships/table" Target="../tables/table16.xml"/><Relationship Id="rId18" Type="http://schemas.openxmlformats.org/officeDocument/2006/relationships/table" Target="../tables/table21.xml"/><Relationship Id="rId3" Type="http://schemas.openxmlformats.org/officeDocument/2006/relationships/table" Target="../tables/table6.xml"/><Relationship Id="rId7" Type="http://schemas.openxmlformats.org/officeDocument/2006/relationships/table" Target="../tables/table10.xml"/><Relationship Id="rId12" Type="http://schemas.openxmlformats.org/officeDocument/2006/relationships/table" Target="../tables/table15.xml"/><Relationship Id="rId17" Type="http://schemas.openxmlformats.org/officeDocument/2006/relationships/table" Target="../tables/table20.xml"/><Relationship Id="rId2" Type="http://schemas.openxmlformats.org/officeDocument/2006/relationships/table" Target="../tables/table5.xml"/><Relationship Id="rId16" Type="http://schemas.openxmlformats.org/officeDocument/2006/relationships/table" Target="../tables/table19.xml"/><Relationship Id="rId1" Type="http://schemas.openxmlformats.org/officeDocument/2006/relationships/printerSettings" Target="../printerSettings/printerSettings5.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5" Type="http://schemas.openxmlformats.org/officeDocument/2006/relationships/table" Target="../tables/table18.xml"/><Relationship Id="rId10" Type="http://schemas.openxmlformats.org/officeDocument/2006/relationships/table" Target="../tables/table13.xml"/><Relationship Id="rId19" Type="http://schemas.openxmlformats.org/officeDocument/2006/relationships/table" Target="../tables/table22.xml"/><Relationship Id="rId4" Type="http://schemas.openxmlformats.org/officeDocument/2006/relationships/table" Target="../tables/table7.xml"/><Relationship Id="rId9" Type="http://schemas.openxmlformats.org/officeDocument/2006/relationships/table" Target="../tables/table12.xml"/><Relationship Id="rId14" Type="http://schemas.openxmlformats.org/officeDocument/2006/relationships/table" Target="../tables/table17.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W63"/>
  <sheetViews>
    <sheetView showGridLines="0" topLeftCell="A3" zoomScaleNormal="100" workbookViewId="0">
      <selection activeCell="D6" sqref="D6"/>
    </sheetView>
  </sheetViews>
  <sheetFormatPr defaultRowHeight="15" x14ac:dyDescent="0.25"/>
  <cols>
    <col min="1" max="1" width="10.25" style="27" customWidth="1"/>
    <col min="2" max="2" width="3.25" style="27" customWidth="1"/>
    <col min="3" max="3" width="8" style="27" customWidth="1"/>
    <col min="4" max="4" width="58.75" style="26" bestFit="1" customWidth="1"/>
    <col min="5" max="5" width="7.5" style="26" customWidth="1"/>
    <col min="6" max="6" width="22.375" style="26" customWidth="1"/>
    <col min="7" max="7" width="5.625" style="26" customWidth="1"/>
    <col min="8" max="11" width="4.625" style="26" customWidth="1"/>
    <col min="12" max="12" width="16" style="26" customWidth="1"/>
    <col min="13" max="13" width="2.5" style="26" hidden="1" customWidth="1"/>
    <col min="14" max="16384" width="9" style="26"/>
  </cols>
  <sheetData>
    <row r="1" spans="1:23" hidden="1" x14ac:dyDescent="0.25">
      <c r="A1" s="22" t="s">
        <v>0</v>
      </c>
      <c r="B1" s="23" t="s">
        <v>1</v>
      </c>
      <c r="C1" s="23" t="s">
        <v>2</v>
      </c>
      <c r="D1" s="24" t="s">
        <v>3</v>
      </c>
      <c r="E1" s="24"/>
      <c r="F1" s="24" t="s">
        <v>4</v>
      </c>
      <c r="G1" s="24" t="s">
        <v>5</v>
      </c>
      <c r="H1" s="25" t="s">
        <v>6</v>
      </c>
      <c r="I1" s="24"/>
      <c r="J1" s="24"/>
      <c r="K1" s="24"/>
      <c r="L1" s="24" t="s">
        <v>7</v>
      </c>
    </row>
    <row r="2" spans="1:23" hidden="1" x14ac:dyDescent="0.25">
      <c r="A2" s="188"/>
      <c r="B2" s="189">
        <v>2</v>
      </c>
      <c r="C2" s="189">
        <v>3</v>
      </c>
      <c r="D2" s="189">
        <v>4</v>
      </c>
      <c r="E2" s="189"/>
      <c r="F2" s="189">
        <v>6</v>
      </c>
      <c r="G2" s="189">
        <v>5</v>
      </c>
      <c r="H2" s="189">
        <v>7</v>
      </c>
      <c r="I2" s="189">
        <v>8</v>
      </c>
      <c r="J2" s="189">
        <v>9</v>
      </c>
      <c r="K2" s="189">
        <v>10</v>
      </c>
      <c r="L2" s="190"/>
    </row>
    <row r="3" spans="1:23" ht="39.950000000000003" customHeight="1" x14ac:dyDescent="0.25">
      <c r="A3" s="264" t="s">
        <v>8</v>
      </c>
      <c r="B3" s="264"/>
      <c r="C3" s="264"/>
      <c r="D3" s="264"/>
      <c r="E3" s="94"/>
      <c r="F3" s="94"/>
      <c r="G3" s="94"/>
      <c r="H3" s="94"/>
      <c r="I3" s="94"/>
      <c r="J3" s="94"/>
      <c r="K3" s="94"/>
      <c r="L3" s="94"/>
    </row>
    <row r="4" spans="1:23" ht="25.5" x14ac:dyDescent="0.25">
      <c r="A4" s="259" t="s">
        <v>9</v>
      </c>
      <c r="B4" s="260"/>
      <c r="C4" s="260"/>
      <c r="D4" s="261"/>
      <c r="E4" s="261"/>
      <c r="F4" s="260"/>
      <c r="G4" s="262"/>
      <c r="H4" s="262"/>
      <c r="I4" s="262"/>
      <c r="J4" s="262"/>
      <c r="K4" s="262"/>
      <c r="L4" s="263"/>
    </row>
    <row r="5" spans="1:23" ht="20.100000000000001" customHeight="1" x14ac:dyDescent="0.25">
      <c r="B5" s="95"/>
      <c r="C5" s="96" t="s">
        <v>10</v>
      </c>
      <c r="D5" s="219" t="s">
        <v>11</v>
      </c>
      <c r="E5" s="97"/>
      <c r="F5" s="96" t="s">
        <v>12</v>
      </c>
      <c r="G5" s="97" t="str">
        <f>IFERROR(CONCATENATE(VLOOKUP(D5,TableCourses[],2,FALSE)," ",VLOOKUP(D5,TableCourses[],3,FALSE)),"")</f>
        <v>EO-INARCH1 v.1</v>
      </c>
      <c r="H5" s="97"/>
      <c r="I5" s="97"/>
      <c r="J5" s="187"/>
      <c r="K5" s="187"/>
      <c r="L5" s="253" t="e">
        <f>CONCATENATE(VLOOKUP(D5,TableCourses[],2,FALSE),VLOOKUP(D7,TableStudyPeriod[],2,FALSE))</f>
        <v>#N/A</v>
      </c>
    </row>
    <row r="6" spans="1:23" ht="20.100000000000001" customHeight="1" x14ac:dyDescent="0.25">
      <c r="B6" s="95"/>
      <c r="C6" s="96" t="s">
        <v>13</v>
      </c>
      <c r="D6" s="91" t="s">
        <v>39</v>
      </c>
      <c r="E6" s="97"/>
      <c r="F6" s="96" t="s">
        <v>15</v>
      </c>
      <c r="G6" s="97" t="str">
        <f>IFERROR(CONCATENATE(VLOOKUP(D6,TableSpecialisations[],2,FALSE)," ",VLOOKUP(D6,TableSpecialisations[],3,FALSE)),"")</f>
        <v/>
      </c>
      <c r="H6" s="97"/>
      <c r="I6" s="97"/>
      <c r="J6" s="187"/>
      <c r="K6" s="187"/>
      <c r="L6" s="253" t="e">
        <f>CONCATENATE(VLOOKUP(D6,TableSpecialisations[],2,FALSE),VLOOKUP(D7,TableStudyPeriod[],2,FALSE))</f>
        <v>#N/A</v>
      </c>
    </row>
    <row r="7" spans="1:23" ht="20.100000000000001" customHeight="1" x14ac:dyDescent="0.25">
      <c r="A7" s="98"/>
      <c r="B7" s="99"/>
      <c r="C7" s="96" t="s">
        <v>16</v>
      </c>
      <c r="D7" s="92" t="s">
        <v>40</v>
      </c>
      <c r="E7" s="100"/>
      <c r="F7" s="96" t="s">
        <v>18</v>
      </c>
      <c r="G7" s="97" t="str">
        <f>IFERROR(VLOOKUP($D$5,TableCourses[],4,FALSE),"")</f>
        <v>800 credit points required</v>
      </c>
      <c r="H7" s="101"/>
      <c r="I7" s="101"/>
      <c r="J7" s="186"/>
      <c r="K7" s="186"/>
      <c r="L7" s="186"/>
      <c r="W7" s="28"/>
    </row>
    <row r="8" spans="1:23" s="30" customFormat="1" ht="14.1" customHeight="1" x14ac:dyDescent="0.25">
      <c r="A8" s="102"/>
      <c r="B8" s="102"/>
      <c r="C8" s="102"/>
      <c r="D8" s="103"/>
      <c r="E8" s="104"/>
      <c r="F8" s="102"/>
      <c r="G8" s="102"/>
      <c r="H8" s="105" t="s">
        <v>19</v>
      </c>
      <c r="I8" s="106"/>
      <c r="J8" s="106"/>
      <c r="K8" s="107"/>
      <c r="L8" s="104"/>
      <c r="M8" s="108"/>
      <c r="N8" s="108"/>
      <c r="O8" s="108"/>
      <c r="W8" s="29"/>
    </row>
    <row r="9" spans="1:23" s="30" customFormat="1" ht="21" x14ac:dyDescent="0.25">
      <c r="A9" s="102" t="s">
        <v>20</v>
      </c>
      <c r="B9" s="102"/>
      <c r="C9" s="102" t="s">
        <v>21</v>
      </c>
      <c r="D9" s="103" t="s">
        <v>3</v>
      </c>
      <c r="E9" s="109" t="s">
        <v>22</v>
      </c>
      <c r="F9" s="102" t="s">
        <v>23</v>
      </c>
      <c r="G9" s="102" t="s">
        <v>24</v>
      </c>
      <c r="H9" s="110" t="s">
        <v>25</v>
      </c>
      <c r="I9" s="109" t="s">
        <v>26</v>
      </c>
      <c r="J9" s="109" t="s">
        <v>27</v>
      </c>
      <c r="K9" s="111" t="s">
        <v>28</v>
      </c>
      <c r="L9" s="102" t="s">
        <v>29</v>
      </c>
      <c r="M9" s="108"/>
      <c r="N9" s="108"/>
      <c r="O9" s="108"/>
      <c r="W9" s="29"/>
    </row>
    <row r="10" spans="1:23" s="32" customFormat="1" ht="20.100000000000001" customHeight="1" x14ac:dyDescent="0.15">
      <c r="A10" s="112" t="str">
        <f>IFERROR(IF(HLOOKUP($L$6,RangeUnitsets,M10,FALSE)=0,"",HLOOKUP($L$6,RangeUnitsets,M10,FALSE)),"")</f>
        <v/>
      </c>
      <c r="B10" s="113" t="str">
        <f>IFERROR(IF(VLOOKUP($A10,TableHandbook[],2,FALSE)=0,"",VLOOKUP($A10,TableHandbook[],2,FALSE)),"")</f>
        <v/>
      </c>
      <c r="C10" s="113" t="str">
        <f>IFERROR(IF(VLOOKUP($A10,TableHandbook[],3,FALSE)=0,"",VLOOKUP($A10,TableHandbook[],3,FALSE)),"")</f>
        <v/>
      </c>
      <c r="D10" s="114" t="str">
        <f>IFERROR(IF(VLOOKUP($A10,TableHandbook[],4,FALSE)=0,"",VLOOKUP($A10,TableHandbook[],4,FALSE)),"")</f>
        <v/>
      </c>
      <c r="E10" s="113" t="str">
        <f>IF(A10="","",VLOOKUP($D$7,TableStudyPeriod[],2,FALSE))</f>
        <v/>
      </c>
      <c r="F10" s="115" t="str">
        <f>IFERROR(IF(VLOOKUP($A10,TableHandbook[],6,FALSE)=0,"",VLOOKUP($A10,TableHandbook[],6,FALSE)),"")</f>
        <v/>
      </c>
      <c r="G10" s="113" t="str">
        <f>IFERROR(IF(VLOOKUP($A10,TableHandbook[],5,FALSE)=0,"",VLOOKUP($A10,TableHandbook[],5,FALSE)),"")</f>
        <v/>
      </c>
      <c r="H10" s="116" t="str">
        <f>IFERROR(VLOOKUP($A10,TableHandbook[],H$2,FALSE),"")</f>
        <v/>
      </c>
      <c r="I10" s="113" t="str">
        <f>IFERROR(VLOOKUP($A10,TableHandbook[],I$2,FALSE),"")</f>
        <v/>
      </c>
      <c r="J10" s="113" t="str">
        <f>IFERROR(VLOOKUP($A10,TableHandbook[],J$2,FALSE),"")</f>
        <v/>
      </c>
      <c r="K10" s="117" t="str">
        <f>IFERROR(VLOOKUP($A10,TableHandbook[],K$2,FALSE),"")</f>
        <v/>
      </c>
      <c r="L10" s="47"/>
      <c r="M10" s="212">
        <v>2</v>
      </c>
      <c r="N10" s="119"/>
      <c r="O10" s="119"/>
      <c r="W10" s="31"/>
    </row>
    <row r="11" spans="1:23" s="32" customFormat="1" ht="20.100000000000001" customHeight="1" x14ac:dyDescent="0.15">
      <c r="A11" s="112" t="str">
        <f>IFERROR(IF(HLOOKUP($L$6,RangeUnitsets,M11,FALSE)=0,"",HLOOKUP($L$6,RangeUnitsets,M11,FALSE)),"")</f>
        <v/>
      </c>
      <c r="B11" s="113" t="str">
        <f>IFERROR(IF(VLOOKUP($A11,TableHandbook[],2,FALSE)=0,"",VLOOKUP($A11,TableHandbook[],2,FALSE)),"")</f>
        <v/>
      </c>
      <c r="C11" s="113" t="str">
        <f>IFERROR(IF(VLOOKUP($A11,TableHandbook[],3,FALSE)=0,"",VLOOKUP($A11,TableHandbook[],3,FALSE)),"")</f>
        <v/>
      </c>
      <c r="D11" s="114" t="str">
        <f>IFERROR(IF(VLOOKUP($A11,TableHandbook[],4,FALSE)=0,"",VLOOKUP($A11,TableHandbook[],4,FALSE)),"")</f>
        <v/>
      </c>
      <c r="E11" s="113" t="str">
        <f>IF(A11="","",E10)</f>
        <v/>
      </c>
      <c r="F11" s="115" t="str">
        <f>IFERROR(IF(VLOOKUP($A11,TableHandbook[],6,FALSE)=0,"",VLOOKUP($A11,TableHandbook[],6,FALSE)),"")</f>
        <v/>
      </c>
      <c r="G11" s="113" t="str">
        <f>IFERROR(IF(VLOOKUP($A11,TableHandbook[],5,FALSE)=0,"",VLOOKUP($A11,TableHandbook[],5,FALSE)),"")</f>
        <v/>
      </c>
      <c r="H11" s="116" t="str">
        <f>IFERROR(VLOOKUP(A11,TableHandbook[],7,FALSE),"")</f>
        <v/>
      </c>
      <c r="I11" s="113" t="str">
        <f>IFERROR(VLOOKUP(A11,TableHandbook[],8,FALSE),"")</f>
        <v/>
      </c>
      <c r="J11" s="113" t="str">
        <f>IFERROR(VLOOKUP(A11,TableHandbook[],9,FALSE),"")</f>
        <v/>
      </c>
      <c r="K11" s="117" t="str">
        <f>IFERROR(VLOOKUP(A11,TableHandbook[],10,FALSE),"")</f>
        <v/>
      </c>
      <c r="L11" s="47"/>
      <c r="M11" s="212">
        <v>3</v>
      </c>
      <c r="N11" s="119"/>
      <c r="O11" s="119"/>
      <c r="W11" s="31"/>
    </row>
    <row r="12" spans="1:23" s="32" customFormat="1" ht="5.0999999999999996" customHeight="1" x14ac:dyDescent="0.15">
      <c r="A12" s="229"/>
      <c r="B12" s="230"/>
      <c r="C12" s="230"/>
      <c r="D12" s="231"/>
      <c r="E12" s="230"/>
      <c r="F12" s="232"/>
      <c r="G12" s="230"/>
      <c r="H12" s="233"/>
      <c r="I12" s="230"/>
      <c r="J12" s="230"/>
      <c r="K12" s="234"/>
      <c r="L12" s="235"/>
      <c r="M12" s="212"/>
      <c r="N12" s="119"/>
      <c r="O12" s="119"/>
      <c r="P12" s="119"/>
      <c r="W12" s="31"/>
    </row>
    <row r="13" spans="1:23" s="32" customFormat="1" ht="20.100000000000001" customHeight="1" x14ac:dyDescent="0.15">
      <c r="A13" s="112" t="str">
        <f>IFERROR(IF(HLOOKUP($L$6,RangeUnitsets,M13,FALSE)=0,"",HLOOKUP($L$6,RangeUnitsets,M13,FALSE)),"")</f>
        <v/>
      </c>
      <c r="B13" s="113" t="str">
        <f>IFERROR(IF(VLOOKUP($A13,TableHandbook[],2,FALSE)=0,"",VLOOKUP($A13,TableHandbook[],2,FALSE)),"")</f>
        <v/>
      </c>
      <c r="C13" s="113" t="str">
        <f>IFERROR(IF(VLOOKUP($A13,TableHandbook[],3,FALSE)=0,"",VLOOKUP($A13,TableHandbook[],3,FALSE)),"")</f>
        <v/>
      </c>
      <c r="D13" s="114" t="str">
        <f>IFERROR(IF(VLOOKUP($A13,TableHandbook[],4,FALSE)=0,"",VLOOKUP($A13,TableHandbook[],4,FALSE)),"")</f>
        <v/>
      </c>
      <c r="E13" s="113" t="str">
        <f>IF(A13="","",VLOOKUP($D$7,TableStudyPeriod[],3,FALSE))</f>
        <v/>
      </c>
      <c r="F13" s="115" t="str">
        <f>IFERROR(IF(VLOOKUP($A13,TableHandbook[],6,FALSE)=0,"",VLOOKUP($A13,TableHandbook[],6,FALSE)),"")</f>
        <v/>
      </c>
      <c r="G13" s="113" t="str">
        <f>IFERROR(IF(VLOOKUP($A13,TableHandbook[],5,FALSE)=0,"",VLOOKUP($A13,TableHandbook[],5,FALSE)),"")</f>
        <v/>
      </c>
      <c r="H13" s="116" t="str">
        <f>IFERROR(VLOOKUP(A13,TableHandbook[],7,FALSE),"")</f>
        <v/>
      </c>
      <c r="I13" s="113" t="str">
        <f>IFERROR(VLOOKUP(A13,TableHandbook[],8,FALSE),"")</f>
        <v/>
      </c>
      <c r="J13" s="113" t="str">
        <f>IFERROR(VLOOKUP(A13,TableHandbook[],9,FALSE),"")</f>
        <v/>
      </c>
      <c r="K13" s="117" t="str">
        <f>IFERROR(VLOOKUP(A13,TableHandbook[],10,FALSE),"")</f>
        <v/>
      </c>
      <c r="L13" s="93"/>
      <c r="M13" s="212">
        <v>4</v>
      </c>
      <c r="N13" s="119"/>
      <c r="O13" s="119"/>
      <c r="W13" s="31"/>
    </row>
    <row r="14" spans="1:23" s="32" customFormat="1" ht="20.100000000000001" customHeight="1" x14ac:dyDescent="0.15">
      <c r="A14" s="112" t="str">
        <f>IFERROR(IF(HLOOKUP($L$6,RangeUnitsets,M14,FALSE)=0,"",HLOOKUP($L$6,RangeUnitsets,M14,FALSE)),"")</f>
        <v/>
      </c>
      <c r="B14" s="113" t="str">
        <f>IFERROR(IF(VLOOKUP($A14,TableHandbook[],2,FALSE)=0,"",VLOOKUP($A14,TableHandbook[],2,FALSE)),"")</f>
        <v/>
      </c>
      <c r="C14" s="113" t="str">
        <f>IFERROR(IF(VLOOKUP($A14,TableHandbook[],3,FALSE)=0,"",VLOOKUP($A14,TableHandbook[],3,FALSE)),"")</f>
        <v/>
      </c>
      <c r="D14" s="114" t="str">
        <f>IFERROR(IF(VLOOKUP($A14,TableHandbook[],4,FALSE)=0,"",VLOOKUP($A14,TableHandbook[],4,FALSE)),"")</f>
        <v/>
      </c>
      <c r="E14" s="113" t="str">
        <f>IF(A14="","",E13)</f>
        <v/>
      </c>
      <c r="F14" s="115" t="str">
        <f>IFERROR(IF(VLOOKUP($A14,TableHandbook[],6,FALSE)=0,"",VLOOKUP($A14,TableHandbook[],6,FALSE)),"")</f>
        <v/>
      </c>
      <c r="G14" s="113" t="str">
        <f>IFERROR(IF(VLOOKUP($A14,TableHandbook[],5,FALSE)=0,"",VLOOKUP($A14,TableHandbook[],5,FALSE)),"")</f>
        <v/>
      </c>
      <c r="H14" s="116" t="str">
        <f>IFERROR(VLOOKUP(A14,TableHandbook[],7,FALSE),"")</f>
        <v/>
      </c>
      <c r="I14" s="113" t="str">
        <f>IFERROR(VLOOKUP(A14,TableHandbook[],8,FALSE),"")</f>
        <v/>
      </c>
      <c r="J14" s="113" t="str">
        <f>IFERROR(VLOOKUP(A14,TableHandbook[],9,FALSE),"")</f>
        <v/>
      </c>
      <c r="K14" s="117" t="str">
        <f>IFERROR(VLOOKUP(A14,TableHandbook[],10,FALSE),"")</f>
        <v/>
      </c>
      <c r="L14" s="47"/>
      <c r="M14" s="212">
        <v>5</v>
      </c>
      <c r="N14" s="119"/>
      <c r="O14" s="119"/>
      <c r="W14" s="31"/>
    </row>
    <row r="15" spans="1:23" s="32" customFormat="1" ht="5.0999999999999996" customHeight="1" x14ac:dyDescent="0.15">
      <c r="A15" s="229"/>
      <c r="B15" s="230"/>
      <c r="C15" s="230"/>
      <c r="D15" s="231"/>
      <c r="E15" s="230"/>
      <c r="F15" s="232"/>
      <c r="G15" s="230"/>
      <c r="H15" s="233"/>
      <c r="I15" s="230"/>
      <c r="J15" s="230"/>
      <c r="K15" s="234"/>
      <c r="L15" s="235"/>
      <c r="M15" s="212"/>
      <c r="N15" s="119"/>
      <c r="O15" s="119"/>
      <c r="P15" s="119"/>
      <c r="W15" s="31"/>
    </row>
    <row r="16" spans="1:23" s="32" customFormat="1" ht="20.100000000000001" customHeight="1" x14ac:dyDescent="0.15">
      <c r="A16" s="112" t="str">
        <f>IFERROR(IF(HLOOKUP($L$6,RangeUnitsets,M16,FALSE)=0,"",HLOOKUP($L$6,RangeUnitsets,M16,FALSE)),"")</f>
        <v/>
      </c>
      <c r="B16" s="120" t="str">
        <f>IFERROR(IF(VLOOKUP($A16,TableHandbook[],2,FALSE)=0,"",VLOOKUP($A16,TableHandbook[],2,FALSE)),"")</f>
        <v/>
      </c>
      <c r="C16" s="120" t="str">
        <f>IFERROR(IF(VLOOKUP($A16,TableHandbook[],3,FALSE)=0,"",VLOOKUP($A16,TableHandbook[],3,FALSE)),"")</f>
        <v/>
      </c>
      <c r="D16" s="114" t="str">
        <f>IFERROR(IF(VLOOKUP($A16,TableHandbook[],4,FALSE)=0,"",VLOOKUP($A16,TableHandbook[],4,FALSE)),"")</f>
        <v/>
      </c>
      <c r="E16" s="113" t="str">
        <f>IF(A16="","",VLOOKUP($D$7,TableStudyPeriod[],4,FALSE))</f>
        <v/>
      </c>
      <c r="F16" s="115" t="str">
        <f>IFERROR(IF(VLOOKUP($A16,TableHandbook[],6,FALSE)=0,"",VLOOKUP($A16,TableHandbook[],6,FALSE)),"")</f>
        <v/>
      </c>
      <c r="G16" s="120" t="str">
        <f>IFERROR(IF(VLOOKUP($A16,TableHandbook[],5,FALSE)=0,"",VLOOKUP($A16,TableHandbook[],5,FALSE)),"")</f>
        <v/>
      </c>
      <c r="H16" s="121" t="str">
        <f>IFERROR(VLOOKUP(A16,TableHandbook[],7,FALSE),"")</f>
        <v/>
      </c>
      <c r="I16" s="120" t="str">
        <f>IFERROR(VLOOKUP(A16,TableHandbook[],8,FALSE),"")</f>
        <v/>
      </c>
      <c r="J16" s="120" t="str">
        <f>IFERROR(VLOOKUP(A16,TableHandbook[],9,FALSE),"")</f>
        <v/>
      </c>
      <c r="K16" s="122" t="str">
        <f>IFERROR(VLOOKUP(A16,TableHandbook[],10,FALSE),"")</f>
        <v/>
      </c>
      <c r="L16" s="93"/>
      <c r="M16" s="212">
        <v>6</v>
      </c>
      <c r="N16" s="119"/>
      <c r="O16" s="119"/>
      <c r="W16" s="31"/>
    </row>
    <row r="17" spans="1:23" s="34" customFormat="1" ht="20.100000000000001" customHeight="1" x14ac:dyDescent="0.15">
      <c r="A17" s="112" t="str">
        <f>IFERROR(IF(HLOOKUP($L$6,RangeUnitsets,M17,FALSE)=0,"",HLOOKUP($L$6,RangeUnitsets,M17,FALSE)),"")</f>
        <v/>
      </c>
      <c r="B17" s="120" t="str">
        <f>IFERROR(IF(VLOOKUP($A17,TableHandbook[],2,FALSE)=0,"",VLOOKUP($A17,TableHandbook[],2,FALSE)),"")</f>
        <v/>
      </c>
      <c r="C17" s="120" t="str">
        <f>IFERROR(IF(VLOOKUP($A17,TableHandbook[],3,FALSE)=0,"",VLOOKUP($A17,TableHandbook[],3,FALSE)),"")</f>
        <v/>
      </c>
      <c r="D17" s="114" t="str">
        <f>IFERROR(IF(VLOOKUP($A17,TableHandbook[],4,FALSE)=0,"",VLOOKUP($A17,TableHandbook[],4,FALSE)),"")</f>
        <v/>
      </c>
      <c r="E17" s="113" t="str">
        <f>IF(A17="","",E16)</f>
        <v/>
      </c>
      <c r="F17" s="115" t="str">
        <f>IFERROR(IF(VLOOKUP($A17,TableHandbook[],6,FALSE)=0,"",VLOOKUP($A17,TableHandbook[],6,FALSE)),"")</f>
        <v/>
      </c>
      <c r="G17" s="120" t="str">
        <f>IFERROR(IF(VLOOKUP($A17,TableHandbook[],5,FALSE)=0,"",VLOOKUP($A17,TableHandbook[],5,FALSE)),"")</f>
        <v/>
      </c>
      <c r="H17" s="121" t="str">
        <f>IFERROR(VLOOKUP(A17,TableHandbook[],7,FALSE),"")</f>
        <v/>
      </c>
      <c r="I17" s="120" t="str">
        <f>IFERROR(VLOOKUP(A17,TableHandbook[],8,FALSE),"")</f>
        <v/>
      </c>
      <c r="J17" s="120" t="str">
        <f>IFERROR(VLOOKUP(A17,TableHandbook[],9,FALSE),"")</f>
        <v/>
      </c>
      <c r="K17" s="122" t="str">
        <f>IFERROR(VLOOKUP(A17,TableHandbook[],10,FALSE),"")</f>
        <v/>
      </c>
      <c r="L17" s="93"/>
      <c r="M17" s="212">
        <v>7</v>
      </c>
      <c r="N17" s="123"/>
      <c r="O17" s="123"/>
      <c r="W17" s="33"/>
    </row>
    <row r="18" spans="1:23" s="32" customFormat="1" ht="5.0999999999999996" customHeight="1" x14ac:dyDescent="0.15">
      <c r="A18" s="229"/>
      <c r="B18" s="230"/>
      <c r="C18" s="230"/>
      <c r="D18" s="231"/>
      <c r="E18" s="230"/>
      <c r="F18" s="232"/>
      <c r="G18" s="230"/>
      <c r="H18" s="233"/>
      <c r="I18" s="230"/>
      <c r="J18" s="230"/>
      <c r="K18" s="234"/>
      <c r="L18" s="235"/>
      <c r="M18" s="212"/>
      <c r="N18" s="119"/>
      <c r="O18" s="119"/>
      <c r="P18" s="119"/>
      <c r="W18" s="31"/>
    </row>
    <row r="19" spans="1:23" s="34" customFormat="1" ht="20.100000000000001" customHeight="1" x14ac:dyDescent="0.15">
      <c r="A19" s="112" t="str">
        <f>IFERROR(IF(HLOOKUP($L$6,RangeUnitsets,M19,FALSE)=0,"",HLOOKUP($L$6,RangeUnitsets,M19,FALSE)),"")</f>
        <v/>
      </c>
      <c r="B19" s="120" t="str">
        <f>IFERROR(IF(VLOOKUP($A19,TableHandbook[],2,FALSE)=0,"",VLOOKUP($A19,TableHandbook[],2,FALSE)),"")</f>
        <v/>
      </c>
      <c r="C19" s="120" t="str">
        <f>IFERROR(IF(VLOOKUP($A19,TableHandbook[],3,FALSE)=0,"",VLOOKUP($A19,TableHandbook[],3,FALSE)),"")</f>
        <v/>
      </c>
      <c r="D19" s="114" t="str">
        <f>IFERROR(IF(VLOOKUP($A19,TableHandbook[],4,FALSE)=0,"",VLOOKUP($A19,TableHandbook[],4,FALSE)),"")</f>
        <v/>
      </c>
      <c r="E19" s="113" t="str">
        <f>IF(A19="","",VLOOKUP($D$7,TableStudyPeriod[],5,FALSE))</f>
        <v/>
      </c>
      <c r="F19" s="115" t="str">
        <f>IFERROR(IF(VLOOKUP($A19,TableHandbook[],6,FALSE)=0,"",VLOOKUP($A19,TableHandbook[],6,FALSE)),"")</f>
        <v/>
      </c>
      <c r="G19" s="120" t="str">
        <f>IFERROR(IF(VLOOKUP($A19,TableHandbook[],5,FALSE)=0,"",VLOOKUP($A19,TableHandbook[],5,FALSE)),"")</f>
        <v/>
      </c>
      <c r="H19" s="121" t="str">
        <f>IFERROR(VLOOKUP(A19,TableHandbook[],7,FALSE),"")</f>
        <v/>
      </c>
      <c r="I19" s="120" t="str">
        <f>IFERROR(VLOOKUP(A19,TableHandbook[],8,FALSE),"")</f>
        <v/>
      </c>
      <c r="J19" s="120" t="str">
        <f>IFERROR(VLOOKUP(A19,TableHandbook[],9,FALSE),"")</f>
        <v/>
      </c>
      <c r="K19" s="122" t="str">
        <f>IFERROR(VLOOKUP(A19,TableHandbook[],10,FALSE),"")</f>
        <v/>
      </c>
      <c r="L19" s="93"/>
      <c r="M19" s="212">
        <v>8</v>
      </c>
      <c r="N19" s="123"/>
      <c r="O19" s="123"/>
      <c r="W19" s="33"/>
    </row>
    <row r="20" spans="1:23" s="34" customFormat="1" ht="20.100000000000001" customHeight="1" x14ac:dyDescent="0.15">
      <c r="A20" s="112" t="str">
        <f>IFERROR(IF(HLOOKUP($L$6,RangeUnitsets,M20,FALSE)=0,"",HLOOKUP($L$6,RangeUnitsets,M20,FALSE)),"")</f>
        <v/>
      </c>
      <c r="B20" s="120" t="str">
        <f>IFERROR(IF(VLOOKUP($A20,TableHandbook[],2,FALSE)=0,"",VLOOKUP($A20,TableHandbook[],2,FALSE)),"")</f>
        <v/>
      </c>
      <c r="C20" s="120" t="str">
        <f>IFERROR(IF(VLOOKUP($A20,TableHandbook[],3,FALSE)=0,"",VLOOKUP($A20,TableHandbook[],3,FALSE)),"")</f>
        <v/>
      </c>
      <c r="D20" s="194" t="str">
        <f>IFERROR(IF(VLOOKUP($A20,TableHandbook[],4,FALSE)=0,"",VLOOKUP($A20,TableHandbook[],4,FALSE)),"")</f>
        <v/>
      </c>
      <c r="E20" s="120" t="str">
        <f>IF(A20="","",E19)</f>
        <v/>
      </c>
      <c r="F20" s="115" t="str">
        <f>IFERROR(IF(VLOOKUP($A20,TableHandbook[],6,FALSE)=0,"",VLOOKUP($A20,TableHandbook[],6,FALSE)),"")</f>
        <v/>
      </c>
      <c r="G20" s="120" t="str">
        <f>IFERROR(IF(VLOOKUP($A20,TableHandbook[],5,FALSE)=0,"",VLOOKUP($A20,TableHandbook[],5,FALSE)),"")</f>
        <v/>
      </c>
      <c r="H20" s="121" t="str">
        <f>IFERROR(VLOOKUP(A20,TableHandbook[],7,FALSE),"")</f>
        <v/>
      </c>
      <c r="I20" s="120" t="str">
        <f>IFERROR(VLOOKUP(A20,TableHandbook[],8,FALSE),"")</f>
        <v/>
      </c>
      <c r="J20" s="120" t="str">
        <f>IFERROR(VLOOKUP(A20,TableHandbook[],9,FALSE),"")</f>
        <v/>
      </c>
      <c r="K20" s="122" t="str">
        <f>IFERROR(VLOOKUP(A20,TableHandbook[],10,FALSE),"")</f>
        <v/>
      </c>
      <c r="L20" s="93"/>
      <c r="M20" s="212">
        <v>9</v>
      </c>
      <c r="N20" s="123"/>
      <c r="O20" s="123"/>
      <c r="W20" s="33"/>
    </row>
    <row r="21" spans="1:23" s="30" customFormat="1" ht="21" x14ac:dyDescent="0.25">
      <c r="A21" s="102" t="s">
        <v>30</v>
      </c>
      <c r="B21" s="102"/>
      <c r="C21" s="102" t="s">
        <v>21</v>
      </c>
      <c r="D21" s="195" t="s">
        <v>3</v>
      </c>
      <c r="E21" s="109" t="s">
        <v>22</v>
      </c>
      <c r="F21" s="102" t="s">
        <v>23</v>
      </c>
      <c r="G21" s="102" t="s">
        <v>24</v>
      </c>
      <c r="H21" s="110" t="s">
        <v>25</v>
      </c>
      <c r="I21" s="109" t="s">
        <v>26</v>
      </c>
      <c r="J21" s="109" t="s">
        <v>27</v>
      </c>
      <c r="K21" s="111" t="s">
        <v>28</v>
      </c>
      <c r="L21" s="102" t="s">
        <v>29</v>
      </c>
      <c r="M21" s="213"/>
      <c r="N21" s="108"/>
      <c r="O21" s="108"/>
      <c r="W21" s="29"/>
    </row>
    <row r="22" spans="1:23" s="32" customFormat="1" ht="20.100000000000001" customHeight="1" x14ac:dyDescent="0.15">
      <c r="A22" s="124" t="str">
        <f t="shared" ref="A22:A29" si="0">IFERROR(IF(HLOOKUP($L$6,RangeUnitsets,M22,FALSE)=0,"",HLOOKUP($L$6,RangeUnitsets,M22,FALSE)),"")</f>
        <v/>
      </c>
      <c r="B22" s="125" t="str">
        <f>IFERROR(IF(VLOOKUP($A22,TableHandbook[],2,FALSE)=0,"",VLOOKUP($A22,TableHandbook[],2,FALSE)),"")</f>
        <v/>
      </c>
      <c r="C22" s="125" t="str">
        <f>IFERROR(IF(VLOOKUP($A22,TableHandbook[],3,FALSE)=0,"",VLOOKUP($A22,TableHandbook[],3,FALSE)),"")</f>
        <v/>
      </c>
      <c r="D22" s="126" t="str">
        <f>IFERROR(IF(VLOOKUP($A22,TableHandbook[],4,FALSE)=0,"",VLOOKUP($A22,TableHandbook[],4,FALSE)),"")</f>
        <v/>
      </c>
      <c r="E22" s="125"/>
      <c r="F22" s="127" t="str">
        <f>IFERROR(IF(VLOOKUP($A22,TableHandbook[],6,FALSE)=0,"",VLOOKUP($A22,TableHandbook[],6,FALSE)),"")</f>
        <v/>
      </c>
      <c r="G22" s="128" t="str">
        <f>IFERROR(IF(VLOOKUP($A22,TableHandbook[],5,FALSE)=0,"",VLOOKUP($A22,TableHandbook[],5,FALSE)),"")</f>
        <v/>
      </c>
      <c r="H22" s="196" t="str">
        <f>IFERROR(VLOOKUP(A22,TableHandbook[],7,FALSE),"")</f>
        <v/>
      </c>
      <c r="I22" s="128" t="str">
        <f>IFERROR(VLOOKUP(A22,TableHandbook[],8,FALSE),"")</f>
        <v/>
      </c>
      <c r="J22" s="128" t="str">
        <f>IFERROR(VLOOKUP(A22,TableHandbook[],9,FALSE),"")</f>
        <v/>
      </c>
      <c r="K22" s="197" t="str">
        <f>IFERROR(VLOOKUP(A22,TableHandbook[],10,FALSE),"")</f>
        <v/>
      </c>
      <c r="L22" s="198"/>
      <c r="M22" s="212">
        <v>10</v>
      </c>
      <c r="N22" s="119"/>
      <c r="O22" s="119"/>
      <c r="W22" s="31"/>
    </row>
    <row r="23" spans="1:23" s="32" customFormat="1" ht="20.100000000000001" customHeight="1" x14ac:dyDescent="0.15">
      <c r="A23" s="124" t="str">
        <f t="shared" si="0"/>
        <v/>
      </c>
      <c r="B23" s="125" t="str">
        <f>IFERROR(IF(VLOOKUP($A23,TableHandbook[],2,FALSE)=0,"",VLOOKUP($A23,TableHandbook[],2,FALSE)),"")</f>
        <v/>
      </c>
      <c r="C23" s="125" t="str">
        <f>IFERROR(IF(VLOOKUP($A23,TableHandbook[],3,FALSE)=0,"",VLOOKUP($A23,TableHandbook[],3,FALSE)),"")</f>
        <v/>
      </c>
      <c r="D23" s="210" t="str">
        <f>IFERROR(IF(VLOOKUP($A23,TableHandbook[],4,FALSE)=0,"",VLOOKUP($A23,TableHandbook[],4,FALSE)),"")</f>
        <v/>
      </c>
      <c r="E23" s="125"/>
      <c r="F23" s="127" t="str">
        <f>IFERROR(IF(VLOOKUP($A23,TableHandbook[],6,FALSE)=0,"",VLOOKUP($A23,TableHandbook[],6,FALSE)),"")</f>
        <v/>
      </c>
      <c r="G23" s="128" t="str">
        <f>IFERROR(IF(VLOOKUP($A23,TableHandbook[],5,FALSE)=0,"",VLOOKUP($A23,TableHandbook[],5,FALSE)),"")</f>
        <v/>
      </c>
      <c r="H23" s="196" t="str">
        <f>IFERROR(VLOOKUP(A23,TableHandbook[],7,FALSE),"")</f>
        <v/>
      </c>
      <c r="I23" s="128" t="str">
        <f>IFERROR(VLOOKUP(A23,TableHandbook[],8,FALSE),"")</f>
        <v/>
      </c>
      <c r="J23" s="128" t="str">
        <f>IFERROR(VLOOKUP(A23,TableHandbook[],9,FALSE),"")</f>
        <v/>
      </c>
      <c r="K23" s="197" t="str">
        <f>IFERROR(VLOOKUP(A23,TableHandbook[],10,FALSE),"")</f>
        <v/>
      </c>
      <c r="L23" s="198"/>
      <c r="M23" s="212">
        <v>11</v>
      </c>
      <c r="N23" s="119"/>
      <c r="O23" s="119"/>
      <c r="W23" s="31"/>
    </row>
    <row r="24" spans="1:23" s="32" customFormat="1" ht="20.100000000000001" customHeight="1" x14ac:dyDescent="0.15">
      <c r="A24" s="124" t="str">
        <f t="shared" si="0"/>
        <v/>
      </c>
      <c r="B24" s="125" t="str">
        <f>IFERROR(IF(VLOOKUP($A24,TableHandbook[],2,FALSE)=0,"",VLOOKUP($A24,TableHandbook[],2,FALSE)),"")</f>
        <v/>
      </c>
      <c r="C24" s="125" t="str">
        <f>IFERROR(IF(VLOOKUP($A24,TableHandbook[],3,FALSE)=0,"",VLOOKUP($A24,TableHandbook[],3,FALSE)),"")</f>
        <v/>
      </c>
      <c r="D24" s="210" t="str">
        <f>IFERROR(IF(VLOOKUP($A24,TableHandbook[],4,FALSE)=0,"",VLOOKUP($A24,TableHandbook[],4,FALSE)),"")</f>
        <v/>
      </c>
      <c r="E24" s="125"/>
      <c r="F24" s="127" t="str">
        <f>IFERROR(IF(VLOOKUP($A24,TableHandbook[],6,FALSE)=0,"",VLOOKUP($A24,TableHandbook[],6,FALSE)),"")</f>
        <v/>
      </c>
      <c r="G24" s="128" t="str">
        <f>IFERROR(IF(VLOOKUP($A24,TableHandbook[],5,FALSE)=0,"",VLOOKUP($A24,TableHandbook[],5,FALSE)),"")</f>
        <v/>
      </c>
      <c r="H24" s="196" t="str">
        <f>IFERROR(VLOOKUP(A24,TableHandbook[],7,FALSE),"")</f>
        <v/>
      </c>
      <c r="I24" s="128" t="str">
        <f>IFERROR(VLOOKUP(A24,TableHandbook[],8,FALSE),"")</f>
        <v/>
      </c>
      <c r="J24" s="128" t="str">
        <f>IFERROR(VLOOKUP(A24,TableHandbook[],9,FALSE),"")</f>
        <v/>
      </c>
      <c r="K24" s="197" t="str">
        <f>IFERROR(VLOOKUP(A24,TableHandbook[],10,FALSE),"")</f>
        <v/>
      </c>
      <c r="L24" s="198"/>
      <c r="M24" s="212">
        <v>12</v>
      </c>
      <c r="N24" s="119"/>
      <c r="O24" s="119"/>
      <c r="W24" s="31"/>
    </row>
    <row r="25" spans="1:23" s="32" customFormat="1" ht="20.100000000000001" customHeight="1" x14ac:dyDescent="0.15">
      <c r="A25" s="124" t="str">
        <f t="shared" si="0"/>
        <v/>
      </c>
      <c r="B25" s="125" t="str">
        <f>IFERROR(IF(VLOOKUP($A25,TableHandbook[],2,FALSE)=0,"",VLOOKUP($A25,TableHandbook[],2,FALSE)),"")</f>
        <v/>
      </c>
      <c r="C25" s="125" t="str">
        <f>IFERROR(IF(VLOOKUP($A25,TableHandbook[],3,FALSE)=0,"",VLOOKUP($A25,TableHandbook[],3,FALSE)),"")</f>
        <v/>
      </c>
      <c r="D25" s="210" t="str">
        <f>IFERROR(IF(VLOOKUP($A25,TableHandbook[],4,FALSE)=0,"",VLOOKUP($A25,TableHandbook[],4,FALSE)),"")</f>
        <v/>
      </c>
      <c r="E25" s="125"/>
      <c r="F25" s="127" t="str">
        <f>IFERROR(IF(VLOOKUP($A25,TableHandbook[],6,FALSE)=0,"",VLOOKUP($A25,TableHandbook[],6,FALSE)),"")</f>
        <v/>
      </c>
      <c r="G25" s="128" t="str">
        <f>IFERROR(IF(VLOOKUP($A25,TableHandbook[],5,FALSE)=0,"",VLOOKUP($A25,TableHandbook[],5,FALSE)),"")</f>
        <v/>
      </c>
      <c r="H25" s="196" t="str">
        <f>IFERROR(VLOOKUP(A25,TableHandbook[],7,FALSE),"")</f>
        <v/>
      </c>
      <c r="I25" s="128" t="str">
        <f>IFERROR(VLOOKUP(A25,TableHandbook[],8,FALSE),"")</f>
        <v/>
      </c>
      <c r="J25" s="128" t="str">
        <f>IFERROR(VLOOKUP(A25,TableHandbook[],9,FALSE),"")</f>
        <v/>
      </c>
      <c r="K25" s="197" t="str">
        <f>IFERROR(VLOOKUP(A25,TableHandbook[],10,FALSE),"")</f>
        <v/>
      </c>
      <c r="L25" s="198"/>
      <c r="M25" s="212">
        <v>13</v>
      </c>
      <c r="N25" s="119"/>
      <c r="O25" s="119"/>
      <c r="W25" s="31"/>
    </row>
    <row r="26" spans="1:23" s="32" customFormat="1" ht="20.100000000000001" customHeight="1" x14ac:dyDescent="0.15">
      <c r="A26" s="124" t="str">
        <f t="shared" si="0"/>
        <v/>
      </c>
      <c r="B26" s="125" t="str">
        <f>IFERROR(IF(VLOOKUP($A26,TableHandbook[],2,FALSE)=0,"",VLOOKUP($A26,TableHandbook[],2,FALSE)),"")</f>
        <v/>
      </c>
      <c r="C26" s="125" t="str">
        <f>IFERROR(IF(VLOOKUP($A26,TableHandbook[],3,FALSE)=0,"",VLOOKUP($A26,TableHandbook[],3,FALSE)),"")</f>
        <v/>
      </c>
      <c r="D26" s="210" t="str">
        <f>IFERROR(IF(VLOOKUP($A26,TableHandbook[],4,FALSE)=0,"",VLOOKUP($A26,TableHandbook[],4,FALSE)),"")</f>
        <v/>
      </c>
      <c r="E26" s="125"/>
      <c r="F26" s="127" t="str">
        <f>IFERROR(IF(VLOOKUP($A26,TableHandbook[],6,FALSE)=0,"",VLOOKUP($A26,TableHandbook[],6,FALSE)),"")</f>
        <v/>
      </c>
      <c r="G26" s="128" t="str">
        <f>IFERROR(IF(VLOOKUP($A26,TableHandbook[],5,FALSE)=0,"",VLOOKUP($A26,TableHandbook[],5,FALSE)),"")</f>
        <v/>
      </c>
      <c r="H26" s="196" t="str">
        <f>IFERROR(VLOOKUP(A26,TableHandbook[],7,FALSE),"")</f>
        <v/>
      </c>
      <c r="I26" s="128" t="str">
        <f>IFERROR(VLOOKUP(A26,TableHandbook[],8,FALSE),"")</f>
        <v/>
      </c>
      <c r="J26" s="128" t="str">
        <f>IFERROR(VLOOKUP(A26,TableHandbook[],9,FALSE),"")</f>
        <v/>
      </c>
      <c r="K26" s="197" t="str">
        <f>IFERROR(VLOOKUP(A26,TableHandbook[],10,FALSE),"")</f>
        <v/>
      </c>
      <c r="L26" s="198"/>
      <c r="M26" s="212">
        <v>14</v>
      </c>
      <c r="N26" s="119"/>
      <c r="O26" s="119"/>
      <c r="W26" s="31"/>
    </row>
    <row r="27" spans="1:23" s="32" customFormat="1" ht="20.100000000000001" customHeight="1" x14ac:dyDescent="0.15">
      <c r="A27" s="124" t="str">
        <f t="shared" si="0"/>
        <v/>
      </c>
      <c r="B27" s="125" t="str">
        <f>IFERROR(IF(VLOOKUP($A27,TableHandbook[],2,FALSE)=0,"",VLOOKUP($A27,TableHandbook[],2,FALSE)),"")</f>
        <v/>
      </c>
      <c r="C27" s="125" t="str">
        <f>IFERROR(IF(VLOOKUP($A27,TableHandbook[],3,FALSE)=0,"",VLOOKUP($A27,TableHandbook[],3,FALSE)),"")</f>
        <v/>
      </c>
      <c r="D27" s="210" t="str">
        <f>IFERROR(IF(VLOOKUP($A27,TableHandbook[],4,FALSE)=0,"",VLOOKUP($A27,TableHandbook[],4,FALSE)),"")</f>
        <v/>
      </c>
      <c r="E27" s="125"/>
      <c r="F27" s="127" t="str">
        <f>IFERROR(IF(VLOOKUP($A27,TableHandbook[],6,FALSE)=0,"",VLOOKUP($A27,TableHandbook[],6,FALSE)),"")</f>
        <v/>
      </c>
      <c r="G27" s="128" t="str">
        <f>IFERROR(IF(VLOOKUP($A27,TableHandbook[],5,FALSE)=0,"",VLOOKUP($A27,TableHandbook[],5,FALSE)),"")</f>
        <v/>
      </c>
      <c r="H27" s="196" t="str">
        <f>IFERROR(VLOOKUP(A27,TableHandbook[],7,FALSE),"")</f>
        <v/>
      </c>
      <c r="I27" s="128" t="str">
        <f>IFERROR(VLOOKUP(A27,TableHandbook[],8,FALSE),"")</f>
        <v/>
      </c>
      <c r="J27" s="128" t="str">
        <f>IFERROR(VLOOKUP(A27,TableHandbook[],9,FALSE),"")</f>
        <v/>
      </c>
      <c r="K27" s="197" t="str">
        <f>IFERROR(VLOOKUP(A27,TableHandbook[],10,FALSE),"")</f>
        <v/>
      </c>
      <c r="L27" s="198"/>
      <c r="M27" s="212">
        <v>15</v>
      </c>
      <c r="N27" s="119"/>
      <c r="O27" s="119"/>
      <c r="W27" s="31"/>
    </row>
    <row r="28" spans="1:23" s="34" customFormat="1" ht="20.100000000000001" customHeight="1" x14ac:dyDescent="0.15">
      <c r="A28" s="124" t="str">
        <f t="shared" si="0"/>
        <v/>
      </c>
      <c r="B28" s="125" t="str">
        <f>IFERROR(IF(VLOOKUP($A28,TableHandbook[],2,FALSE)=0,"",VLOOKUP($A28,TableHandbook[],2,FALSE)),"")</f>
        <v/>
      </c>
      <c r="C28" s="125" t="str">
        <f>IFERROR(IF(VLOOKUP($A28,TableHandbook[],3,FALSE)=0,"",VLOOKUP($A28,TableHandbook[],3,FALSE)),"")</f>
        <v/>
      </c>
      <c r="D28" s="210" t="str">
        <f>IFERROR(IF(VLOOKUP($A28,TableHandbook[],4,FALSE)=0,"",VLOOKUP($A28,TableHandbook[],4,FALSE)),"")</f>
        <v/>
      </c>
      <c r="E28" s="125"/>
      <c r="F28" s="127" t="str">
        <f>IFERROR(IF(VLOOKUP($A28,TableHandbook[],6,FALSE)=0,"",VLOOKUP($A28,TableHandbook[],6,FALSE)),"")</f>
        <v/>
      </c>
      <c r="G28" s="128" t="str">
        <f>IFERROR(IF(VLOOKUP($A28,TableHandbook[],5,FALSE)=0,"",VLOOKUP($A28,TableHandbook[],5,FALSE)),"")</f>
        <v/>
      </c>
      <c r="H28" s="196" t="str">
        <f>IFERROR(VLOOKUP(A28,TableHandbook[],7,FALSE),"")</f>
        <v/>
      </c>
      <c r="I28" s="128" t="str">
        <f>IFERROR(VLOOKUP(A28,TableHandbook[],8,FALSE),"")</f>
        <v/>
      </c>
      <c r="J28" s="128" t="str">
        <f>IFERROR(VLOOKUP(A28,TableHandbook[],9,FALSE),"")</f>
        <v/>
      </c>
      <c r="K28" s="197" t="str">
        <f>IFERROR(VLOOKUP(A28,TableHandbook[],10,FALSE),"")</f>
        <v/>
      </c>
      <c r="L28" s="198"/>
      <c r="M28" s="212">
        <v>16</v>
      </c>
      <c r="N28" s="123"/>
      <c r="O28" s="123"/>
      <c r="W28" s="33"/>
    </row>
    <row r="29" spans="1:23" s="34" customFormat="1" ht="20.100000000000001" customHeight="1" x14ac:dyDescent="0.15">
      <c r="A29" s="124" t="str">
        <f t="shared" si="0"/>
        <v/>
      </c>
      <c r="B29" s="125" t="str">
        <f>IFERROR(IF(VLOOKUP($A29,TableHandbook[],2,FALSE)=0,"",VLOOKUP($A29,TableHandbook[],2,FALSE)),"")</f>
        <v/>
      </c>
      <c r="C29" s="125" t="str">
        <f>IFERROR(IF(VLOOKUP($A29,TableHandbook[],3,FALSE)=0,"",VLOOKUP($A29,TableHandbook[],3,FALSE)),"")</f>
        <v/>
      </c>
      <c r="D29" s="210" t="str">
        <f>IFERROR(IF(VLOOKUP($A29,TableHandbook[],4,FALSE)=0,"",VLOOKUP($A29,TableHandbook[],4,FALSE)),"")</f>
        <v/>
      </c>
      <c r="E29" s="128"/>
      <c r="F29" s="127" t="str">
        <f>IFERROR(IF(VLOOKUP($A29,TableHandbook[],6,FALSE)=0,"",VLOOKUP($A29,TableHandbook[],6,FALSE)),"")</f>
        <v/>
      </c>
      <c r="G29" s="128" t="str">
        <f>IFERROR(IF(VLOOKUP($A29,TableHandbook[],5,FALSE)=0,"",VLOOKUP($A29,TableHandbook[],5,FALSE)),"")</f>
        <v/>
      </c>
      <c r="H29" s="196" t="str">
        <f>IFERROR(VLOOKUP(A29,TableHandbook[],7,FALSE),"")</f>
        <v/>
      </c>
      <c r="I29" s="128" t="str">
        <f>IFERROR(VLOOKUP(A29,TableHandbook[],8,FALSE),"")</f>
        <v/>
      </c>
      <c r="J29" s="128" t="str">
        <f>IFERROR(VLOOKUP(A29,TableHandbook[],9,FALSE),"")</f>
        <v/>
      </c>
      <c r="K29" s="197" t="str">
        <f>IFERROR(VLOOKUP(A29,TableHandbook[],10,FALSE),"")</f>
        <v/>
      </c>
      <c r="L29" s="198"/>
      <c r="M29" s="212">
        <v>17</v>
      </c>
      <c r="N29" s="123"/>
      <c r="O29" s="123"/>
      <c r="W29" s="33"/>
    </row>
    <row r="30" spans="1:23" s="30" customFormat="1" ht="21" x14ac:dyDescent="0.25">
      <c r="A30" s="102" t="s">
        <v>31</v>
      </c>
      <c r="B30" s="102"/>
      <c r="C30" s="102" t="s">
        <v>21</v>
      </c>
      <c r="D30" s="103" t="s">
        <v>3</v>
      </c>
      <c r="E30" s="109" t="s">
        <v>22</v>
      </c>
      <c r="F30" s="102" t="s">
        <v>23</v>
      </c>
      <c r="G30" s="102" t="s">
        <v>24</v>
      </c>
      <c r="H30" s="110" t="s">
        <v>25</v>
      </c>
      <c r="I30" s="109" t="s">
        <v>26</v>
      </c>
      <c r="J30" s="109" t="s">
        <v>27</v>
      </c>
      <c r="K30" s="111" t="s">
        <v>28</v>
      </c>
      <c r="L30" s="102" t="s">
        <v>29</v>
      </c>
      <c r="M30" s="213"/>
      <c r="N30" s="108"/>
      <c r="O30" s="108"/>
      <c r="W30" s="29"/>
    </row>
    <row r="31" spans="1:23" s="32" customFormat="1" ht="20.100000000000001" customHeight="1" x14ac:dyDescent="0.15">
      <c r="A31" s="124" t="str">
        <f t="shared" ref="A31:A38" si="1">IFERROR(IF(HLOOKUP($L$6,RangeUnitsets,M31,FALSE)=0,"",HLOOKUP($L$6,RangeUnitsets,M31,FALSE)),"")</f>
        <v/>
      </c>
      <c r="B31" s="125" t="str">
        <f>IFERROR(IF(VLOOKUP($A31,TableHandbook[],2,FALSE)=0,"",VLOOKUP($A31,TableHandbook[],2,FALSE)),"")</f>
        <v/>
      </c>
      <c r="C31" s="125" t="str">
        <f>IFERROR(IF(VLOOKUP($A31,TableHandbook[],3,FALSE)=0,"",VLOOKUP($A31,TableHandbook[],3,FALSE)),"")</f>
        <v/>
      </c>
      <c r="D31" s="126" t="str">
        <f>IFERROR(IF(VLOOKUP($A31,TableHandbook[],4,FALSE)=0,"",VLOOKUP($A31,TableHandbook[],4,FALSE)),"")</f>
        <v/>
      </c>
      <c r="E31" s="125"/>
      <c r="F31" s="127" t="str">
        <f>IFERROR(IF(VLOOKUP($A31,TableHandbook[],6,FALSE)=0,"",VLOOKUP($A31,TableHandbook[],6,FALSE)),"")</f>
        <v/>
      </c>
      <c r="G31" s="128" t="str">
        <f>IFERROR(IF(VLOOKUP($A31,TableHandbook[],5,FALSE)=0,"",VLOOKUP($A31,TableHandbook[],5,FALSE)),"")</f>
        <v/>
      </c>
      <c r="H31" s="196" t="str">
        <f>IFERROR(VLOOKUP(A31,TableHandbook[],7,FALSE),"")</f>
        <v/>
      </c>
      <c r="I31" s="128" t="str">
        <f>IFERROR(VLOOKUP(A31,TableHandbook[],8,FALSE),"")</f>
        <v/>
      </c>
      <c r="J31" s="128" t="str">
        <f>IFERROR(VLOOKUP(A31,TableHandbook[],9,FALSE),"")</f>
        <v/>
      </c>
      <c r="K31" s="197" t="str">
        <f>IFERROR(VLOOKUP(A31,TableHandbook[],10,FALSE),"")</f>
        <v/>
      </c>
      <c r="L31" s="198"/>
      <c r="M31" s="212">
        <v>18</v>
      </c>
      <c r="N31" s="119"/>
      <c r="O31" s="119"/>
      <c r="W31" s="31"/>
    </row>
    <row r="32" spans="1:23" s="32" customFormat="1" ht="20.100000000000001" customHeight="1" x14ac:dyDescent="0.15">
      <c r="A32" s="124" t="str">
        <f t="shared" si="1"/>
        <v/>
      </c>
      <c r="B32" s="125" t="str">
        <f>IFERROR(IF(VLOOKUP($A32,TableHandbook[],2,FALSE)=0,"",VLOOKUP($A32,TableHandbook[],2,FALSE)),"")</f>
        <v/>
      </c>
      <c r="C32" s="125" t="str">
        <f>IFERROR(IF(VLOOKUP($A32,TableHandbook[],3,FALSE)=0,"",VLOOKUP($A32,TableHandbook[],3,FALSE)),"")</f>
        <v/>
      </c>
      <c r="D32" s="129" t="str">
        <f>IFERROR(IF(VLOOKUP($A32,TableHandbook[],4,FALSE)=0,"",VLOOKUP($A32,TableHandbook[],4,FALSE)),"")</f>
        <v/>
      </c>
      <c r="E32" s="125"/>
      <c r="F32" s="127" t="str">
        <f>IFERROR(IF(VLOOKUP($A32,TableHandbook[],6,FALSE)=0,"",VLOOKUP($A32,TableHandbook[],6,FALSE)),"")</f>
        <v/>
      </c>
      <c r="G32" s="128" t="str">
        <f>IFERROR(IF(VLOOKUP($A32,TableHandbook[],5,FALSE)=0,"",VLOOKUP($A32,TableHandbook[],5,FALSE)),"")</f>
        <v/>
      </c>
      <c r="H32" s="196" t="str">
        <f>IFERROR(VLOOKUP(A32,TableHandbook[],7,FALSE),"")</f>
        <v/>
      </c>
      <c r="I32" s="128" t="str">
        <f>IFERROR(VLOOKUP(A32,TableHandbook[],8,FALSE),"")</f>
        <v/>
      </c>
      <c r="J32" s="128" t="str">
        <f>IFERROR(VLOOKUP(A32,TableHandbook[],9,FALSE),"")</f>
        <v/>
      </c>
      <c r="K32" s="197" t="str">
        <f>IFERROR(VLOOKUP(A32,TableHandbook[],10,FALSE),"")</f>
        <v/>
      </c>
      <c r="L32" s="198"/>
      <c r="M32" s="212">
        <v>19</v>
      </c>
      <c r="N32" s="119"/>
      <c r="O32" s="119"/>
      <c r="W32" s="31"/>
    </row>
    <row r="33" spans="1:23" s="32" customFormat="1" ht="20.100000000000001" customHeight="1" x14ac:dyDescent="0.15">
      <c r="A33" s="124" t="str">
        <f t="shared" si="1"/>
        <v/>
      </c>
      <c r="B33" s="125" t="str">
        <f>IFERROR(IF(VLOOKUP($A33,TableHandbook[],2,FALSE)=0,"",VLOOKUP($A33,TableHandbook[],2,FALSE)),"")</f>
        <v/>
      </c>
      <c r="C33" s="125" t="str">
        <f>IFERROR(IF(VLOOKUP($A33,TableHandbook[],3,FALSE)=0,"",VLOOKUP($A33,TableHandbook[],3,FALSE)),"")</f>
        <v/>
      </c>
      <c r="D33" s="129" t="str">
        <f>IFERROR(IF(VLOOKUP($A33,TableHandbook[],4,FALSE)=0,"",VLOOKUP($A33,TableHandbook[],4,FALSE)),"")</f>
        <v/>
      </c>
      <c r="E33" s="125"/>
      <c r="F33" s="127" t="str">
        <f>IFERROR(IF(VLOOKUP($A33,TableHandbook[],6,FALSE)=0,"",VLOOKUP($A33,TableHandbook[],6,FALSE)),"")</f>
        <v/>
      </c>
      <c r="G33" s="128" t="str">
        <f>IFERROR(IF(VLOOKUP($A33,TableHandbook[],5,FALSE)=0,"",VLOOKUP($A33,TableHandbook[],5,FALSE)),"")</f>
        <v/>
      </c>
      <c r="H33" s="196" t="str">
        <f>IFERROR(VLOOKUP(A33,TableHandbook[],7,FALSE),"")</f>
        <v/>
      </c>
      <c r="I33" s="128" t="str">
        <f>IFERROR(VLOOKUP(A33,TableHandbook[],8,FALSE),"")</f>
        <v/>
      </c>
      <c r="J33" s="128" t="str">
        <f>IFERROR(VLOOKUP(A33,TableHandbook[],9,FALSE),"")</f>
        <v/>
      </c>
      <c r="K33" s="197" t="str">
        <f>IFERROR(VLOOKUP(A33,TableHandbook[],10,FALSE),"")</f>
        <v/>
      </c>
      <c r="L33" s="198"/>
      <c r="M33" s="212">
        <v>20</v>
      </c>
      <c r="N33" s="119"/>
      <c r="O33" s="119"/>
      <c r="W33" s="31"/>
    </row>
    <row r="34" spans="1:23" s="32" customFormat="1" ht="20.100000000000001" customHeight="1" x14ac:dyDescent="0.15">
      <c r="A34" s="124" t="str">
        <f t="shared" si="1"/>
        <v/>
      </c>
      <c r="B34" s="125" t="str">
        <f>IFERROR(IF(VLOOKUP($A34,TableHandbook[],2,FALSE)=0,"",VLOOKUP($A34,TableHandbook[],2,FALSE)),"")</f>
        <v/>
      </c>
      <c r="C34" s="125" t="str">
        <f>IFERROR(IF(VLOOKUP($A34,TableHandbook[],3,FALSE)=0,"",VLOOKUP($A34,TableHandbook[],3,FALSE)),"")</f>
        <v/>
      </c>
      <c r="D34" s="129" t="str">
        <f>IFERROR(IF(VLOOKUP($A34,TableHandbook[],4,FALSE)=0,"",VLOOKUP($A34,TableHandbook[],4,FALSE)),"")</f>
        <v/>
      </c>
      <c r="E34" s="125"/>
      <c r="F34" s="127" t="str">
        <f>IFERROR(IF(VLOOKUP($A34,TableHandbook[],6,FALSE)=0,"",VLOOKUP($A34,TableHandbook[],6,FALSE)),"")</f>
        <v/>
      </c>
      <c r="G34" s="128" t="str">
        <f>IFERROR(IF(VLOOKUP($A34,TableHandbook[],5,FALSE)=0,"",VLOOKUP($A34,TableHandbook[],5,FALSE)),"")</f>
        <v/>
      </c>
      <c r="H34" s="196" t="str">
        <f>IFERROR(VLOOKUP(A34,TableHandbook[],7,FALSE),"")</f>
        <v/>
      </c>
      <c r="I34" s="128" t="str">
        <f>IFERROR(VLOOKUP(A34,TableHandbook[],8,FALSE),"")</f>
        <v/>
      </c>
      <c r="J34" s="128" t="str">
        <f>IFERROR(VLOOKUP(A34,TableHandbook[],9,FALSE),"")</f>
        <v/>
      </c>
      <c r="K34" s="197" t="str">
        <f>IFERROR(VLOOKUP(A34,TableHandbook[],10,FALSE),"")</f>
        <v/>
      </c>
      <c r="L34" s="198"/>
      <c r="M34" s="212">
        <v>21</v>
      </c>
      <c r="N34" s="119"/>
      <c r="O34" s="119"/>
      <c r="W34" s="31"/>
    </row>
    <row r="35" spans="1:23" s="32" customFormat="1" ht="20.100000000000001" customHeight="1" x14ac:dyDescent="0.15">
      <c r="A35" s="124" t="str">
        <f t="shared" si="1"/>
        <v/>
      </c>
      <c r="B35" s="125" t="str">
        <f>IFERROR(IF(VLOOKUP($A35,TableHandbook[],2,FALSE)=0,"",VLOOKUP($A35,TableHandbook[],2,FALSE)),"")</f>
        <v/>
      </c>
      <c r="C35" s="125" t="str">
        <f>IFERROR(IF(VLOOKUP($A35,TableHandbook[],3,FALSE)=0,"",VLOOKUP($A35,TableHandbook[],3,FALSE)),"")</f>
        <v/>
      </c>
      <c r="D35" s="129" t="str">
        <f>IFERROR(IF(VLOOKUP($A35,TableHandbook[],4,FALSE)=0,"",VLOOKUP($A35,TableHandbook[],4,FALSE)),"")</f>
        <v/>
      </c>
      <c r="E35" s="125"/>
      <c r="F35" s="127" t="str">
        <f>IFERROR(IF(VLOOKUP($A35,TableHandbook[],6,FALSE)=0,"",VLOOKUP($A35,TableHandbook[],6,FALSE)),"")</f>
        <v/>
      </c>
      <c r="G35" s="128" t="str">
        <f>IFERROR(IF(VLOOKUP($A35,TableHandbook[],5,FALSE)=0,"",VLOOKUP($A35,TableHandbook[],5,FALSE)),"")</f>
        <v/>
      </c>
      <c r="H35" s="196" t="str">
        <f>IFERROR(VLOOKUP(A35,TableHandbook[],7,FALSE),"")</f>
        <v/>
      </c>
      <c r="I35" s="128" t="str">
        <f>IFERROR(VLOOKUP(A35,TableHandbook[],8,FALSE),"")</f>
        <v/>
      </c>
      <c r="J35" s="128" t="str">
        <f>IFERROR(VLOOKUP(A35,TableHandbook[],9,FALSE),"")</f>
        <v/>
      </c>
      <c r="K35" s="197" t="str">
        <f>IFERROR(VLOOKUP(A35,TableHandbook[],10,FALSE),"")</f>
        <v/>
      </c>
      <c r="L35" s="198"/>
      <c r="M35" s="212">
        <v>22</v>
      </c>
      <c r="N35" s="119"/>
      <c r="O35" s="119"/>
      <c r="W35" s="31"/>
    </row>
    <row r="36" spans="1:23" s="32" customFormat="1" ht="20.100000000000001" customHeight="1" x14ac:dyDescent="0.15">
      <c r="A36" s="124" t="str">
        <f t="shared" si="1"/>
        <v/>
      </c>
      <c r="B36" s="125" t="str">
        <f>IFERROR(IF(VLOOKUP($A36,TableHandbook[],2,FALSE)=0,"",VLOOKUP($A36,TableHandbook[],2,FALSE)),"")</f>
        <v/>
      </c>
      <c r="C36" s="125" t="str">
        <f>IFERROR(IF(VLOOKUP($A36,TableHandbook[],3,FALSE)=0,"",VLOOKUP($A36,TableHandbook[],3,FALSE)),"")</f>
        <v/>
      </c>
      <c r="D36" s="129" t="str">
        <f>IFERROR(IF(VLOOKUP($A36,TableHandbook[],4,FALSE)=0,"",VLOOKUP($A36,TableHandbook[],4,FALSE)),"")</f>
        <v/>
      </c>
      <c r="E36" s="125"/>
      <c r="F36" s="127" t="str">
        <f>IFERROR(IF(VLOOKUP($A36,TableHandbook[],6,FALSE)=0,"",VLOOKUP($A36,TableHandbook[],6,FALSE)),"")</f>
        <v/>
      </c>
      <c r="G36" s="128" t="str">
        <f>IFERROR(IF(VLOOKUP($A36,TableHandbook[],5,FALSE)=0,"",VLOOKUP($A36,TableHandbook[],5,FALSE)),"")</f>
        <v/>
      </c>
      <c r="H36" s="196" t="str">
        <f>IFERROR(VLOOKUP(A36,TableHandbook[],7,FALSE),"")</f>
        <v/>
      </c>
      <c r="I36" s="128" t="str">
        <f>IFERROR(VLOOKUP(A36,TableHandbook[],8,FALSE),"")</f>
        <v/>
      </c>
      <c r="J36" s="128" t="str">
        <f>IFERROR(VLOOKUP(A36,TableHandbook[],9,FALSE),"")</f>
        <v/>
      </c>
      <c r="K36" s="197" t="str">
        <f>IFERROR(VLOOKUP(A36,TableHandbook[],10,FALSE),"")</f>
        <v/>
      </c>
      <c r="L36" s="198"/>
      <c r="M36" s="212">
        <v>23</v>
      </c>
      <c r="N36" s="119"/>
      <c r="O36" s="119"/>
      <c r="W36" s="31"/>
    </row>
    <row r="37" spans="1:23" s="34" customFormat="1" ht="20.100000000000001" customHeight="1" x14ac:dyDescent="0.15">
      <c r="A37" s="124" t="str">
        <f t="shared" si="1"/>
        <v/>
      </c>
      <c r="B37" s="125" t="str">
        <f>IFERROR(IF(VLOOKUP($A37,TableHandbook[],2,FALSE)=0,"",VLOOKUP($A37,TableHandbook[],2,FALSE)),"")</f>
        <v/>
      </c>
      <c r="C37" s="125" t="str">
        <f>IFERROR(IF(VLOOKUP($A37,TableHandbook[],3,FALSE)=0,"",VLOOKUP($A37,TableHandbook[],3,FALSE)),"")</f>
        <v/>
      </c>
      <c r="D37" s="129" t="str">
        <f>IFERROR(IF(VLOOKUP($A37,TableHandbook[],4,FALSE)=0,"",VLOOKUP($A37,TableHandbook[],4,FALSE)),"")</f>
        <v/>
      </c>
      <c r="E37" s="125"/>
      <c r="F37" s="127" t="str">
        <f>IFERROR(IF(VLOOKUP($A37,TableHandbook[],6,FALSE)=0,"",VLOOKUP($A37,TableHandbook[],6,FALSE)),"")</f>
        <v/>
      </c>
      <c r="G37" s="128" t="str">
        <f>IFERROR(IF(VLOOKUP($A37,TableHandbook[],5,FALSE)=0,"",VLOOKUP($A37,TableHandbook[],5,FALSE)),"")</f>
        <v/>
      </c>
      <c r="H37" s="196" t="str">
        <f>IFERROR(VLOOKUP(A37,TableHandbook[],7,FALSE),"")</f>
        <v/>
      </c>
      <c r="I37" s="128" t="str">
        <f>IFERROR(VLOOKUP(A37,TableHandbook[],8,FALSE),"")</f>
        <v/>
      </c>
      <c r="J37" s="128" t="str">
        <f>IFERROR(VLOOKUP(A37,TableHandbook[],9,FALSE),"")</f>
        <v/>
      </c>
      <c r="K37" s="197" t="str">
        <f>IFERROR(VLOOKUP(A37,TableHandbook[],10,FALSE),"")</f>
        <v/>
      </c>
      <c r="L37" s="198"/>
      <c r="M37" s="212">
        <v>24</v>
      </c>
      <c r="N37" s="123"/>
      <c r="O37" s="123"/>
      <c r="W37" s="33"/>
    </row>
    <row r="38" spans="1:23" s="34" customFormat="1" ht="20.100000000000001" customHeight="1" x14ac:dyDescent="0.15">
      <c r="A38" s="124" t="str">
        <f t="shared" si="1"/>
        <v/>
      </c>
      <c r="B38" s="125" t="str">
        <f>IFERROR(IF(VLOOKUP($A38,TableHandbook[],2,FALSE)=0,"",VLOOKUP($A38,TableHandbook[],2,FALSE)),"")</f>
        <v/>
      </c>
      <c r="C38" s="125" t="str">
        <f>IFERROR(IF(VLOOKUP($A38,TableHandbook[],3,FALSE)=0,"",VLOOKUP($A38,TableHandbook[],3,FALSE)),"")</f>
        <v/>
      </c>
      <c r="D38" s="129" t="str">
        <f>IFERROR(IF(VLOOKUP($A38,TableHandbook[],4,FALSE)=0,"",VLOOKUP($A38,TableHandbook[],4,FALSE)),"")</f>
        <v/>
      </c>
      <c r="E38" s="128"/>
      <c r="F38" s="127" t="str">
        <f>IFERROR(IF(VLOOKUP($A38,TableHandbook[],6,FALSE)=0,"",VLOOKUP($A38,TableHandbook[],6,FALSE)),"")</f>
        <v/>
      </c>
      <c r="G38" s="128" t="str">
        <f>IFERROR(IF(VLOOKUP($A38,TableHandbook[],5,FALSE)=0,"",VLOOKUP($A38,TableHandbook[],5,FALSE)),"")</f>
        <v/>
      </c>
      <c r="H38" s="196" t="str">
        <f>IFERROR(VLOOKUP(A38,TableHandbook[],7,FALSE),"")</f>
        <v/>
      </c>
      <c r="I38" s="128" t="str">
        <f>IFERROR(VLOOKUP(A38,TableHandbook[],8,FALSE),"")</f>
        <v/>
      </c>
      <c r="J38" s="128" t="str">
        <f>IFERROR(VLOOKUP(A38,TableHandbook[],9,FALSE),"")</f>
        <v/>
      </c>
      <c r="K38" s="197" t="str">
        <f>IFERROR(VLOOKUP(A38,TableHandbook[],10,FALSE),"")</f>
        <v/>
      </c>
      <c r="L38" s="198"/>
      <c r="M38" s="212">
        <v>25</v>
      </c>
      <c r="N38" s="123"/>
      <c r="O38" s="123"/>
      <c r="W38" s="33"/>
    </row>
    <row r="39" spans="1:23" s="34" customFormat="1" ht="21" customHeight="1" x14ac:dyDescent="0.15">
      <c r="A39" s="102" t="s">
        <v>32</v>
      </c>
      <c r="B39" s="102"/>
      <c r="C39" s="102" t="s">
        <v>21</v>
      </c>
      <c r="D39" s="103" t="s">
        <v>3</v>
      </c>
      <c r="E39" s="109" t="s">
        <v>22</v>
      </c>
      <c r="F39" s="102" t="s">
        <v>23</v>
      </c>
      <c r="G39" s="102" t="s">
        <v>24</v>
      </c>
      <c r="H39" s="110" t="s">
        <v>25</v>
      </c>
      <c r="I39" s="109" t="s">
        <v>26</v>
      </c>
      <c r="J39" s="109" t="s">
        <v>27</v>
      </c>
      <c r="K39" s="111" t="s">
        <v>28</v>
      </c>
      <c r="L39" s="102" t="s">
        <v>29</v>
      </c>
      <c r="M39" s="213"/>
      <c r="N39" s="123"/>
      <c r="O39" s="123"/>
      <c r="W39" s="33"/>
    </row>
    <row r="40" spans="1:23" s="34" customFormat="1" ht="20.100000000000001" customHeight="1" x14ac:dyDescent="0.15">
      <c r="A40" s="124" t="str">
        <f t="shared" ref="A40:A47" si="2">IFERROR(IF(HLOOKUP($L$6,RangeUnitsets,M40,FALSE)=0,"",HLOOKUP($L$6,RangeUnitsets,M40,FALSE)),"")</f>
        <v/>
      </c>
      <c r="B40" s="125"/>
      <c r="C40" s="125" t="str">
        <f>IFERROR(IF(VLOOKUP($A40,TableHandbook[],3,FALSE)=0,"",VLOOKUP($A40,TableHandbook[],3,FALSE)),"")</f>
        <v/>
      </c>
      <c r="D40" s="126" t="str">
        <f>IFERROR(IF(VLOOKUP($A40,TableHandbook[],4,FALSE)=0,"",VLOOKUP($A40,TableHandbook[],4,FALSE)),"")</f>
        <v/>
      </c>
      <c r="E40" s="125"/>
      <c r="F40" s="127" t="str">
        <f>IFERROR(IF(VLOOKUP($A40,TableHandbook[],6,FALSE)=0,"",VLOOKUP($A40,TableHandbook[],6,FALSE)),"")</f>
        <v/>
      </c>
      <c r="G40" s="128" t="str">
        <f>IFERROR(IF(VLOOKUP($A40,TableHandbook[],5,FALSE)=0,"",VLOOKUP($A40,TableHandbook[],5,FALSE)),"")</f>
        <v/>
      </c>
      <c r="H40" s="116" t="str">
        <f>IFERROR(VLOOKUP(A40,TableHandbook[],7,FALSE),"")</f>
        <v/>
      </c>
      <c r="I40" s="113" t="str">
        <f>IFERROR(VLOOKUP(A40,TableHandbook[],8,FALSE),"")</f>
        <v/>
      </c>
      <c r="J40" s="113" t="str">
        <f>IFERROR(VLOOKUP(A40,TableHandbook[],9,FALSE),"")</f>
        <v/>
      </c>
      <c r="K40" s="117" t="str">
        <f>IFERROR(VLOOKUP(A40,TableHandbook[],10,FALSE),"")</f>
        <v/>
      </c>
      <c r="L40" s="47"/>
      <c r="M40" s="212">
        <v>26</v>
      </c>
      <c r="N40" s="123"/>
      <c r="O40" s="123"/>
      <c r="W40" s="33"/>
    </row>
    <row r="41" spans="1:23" s="34" customFormat="1" ht="20.100000000000001" customHeight="1" x14ac:dyDescent="0.15">
      <c r="A41" s="124" t="str">
        <f t="shared" si="2"/>
        <v/>
      </c>
      <c r="B41" s="125"/>
      <c r="C41" s="125" t="str">
        <f>IFERROR(IF(VLOOKUP($A41,TableHandbook[],3,FALSE)=0,"",VLOOKUP($A41,TableHandbook[],3,FALSE)),"")</f>
        <v/>
      </c>
      <c r="D41" s="129" t="str">
        <f>IFERROR(IF(VLOOKUP($A41,TableHandbook[],4,FALSE)=0,"",VLOOKUP($A41,TableHandbook[],4,FALSE)),"")</f>
        <v/>
      </c>
      <c r="E41" s="125"/>
      <c r="F41" s="127" t="str">
        <f>IFERROR(IF(VLOOKUP($A41,TableHandbook[],6,FALSE)=0,"",VLOOKUP($A41,TableHandbook[],6,FALSE)),"")</f>
        <v/>
      </c>
      <c r="G41" s="128" t="str">
        <f>IFERROR(IF(VLOOKUP($A41,TableHandbook[],5,FALSE)=0,"",VLOOKUP($A41,TableHandbook[],5,FALSE)),"")</f>
        <v/>
      </c>
      <c r="H41" s="116" t="str">
        <f>IFERROR(VLOOKUP(A41,TableHandbook[],7,FALSE),"")</f>
        <v/>
      </c>
      <c r="I41" s="113" t="str">
        <f>IFERROR(VLOOKUP(A41,TableHandbook[],8,FALSE),"")</f>
        <v/>
      </c>
      <c r="J41" s="113" t="str">
        <f>IFERROR(VLOOKUP(A41,TableHandbook[],9,FALSE),"")</f>
        <v/>
      </c>
      <c r="K41" s="117" t="str">
        <f>IFERROR(VLOOKUP(A41,TableHandbook[],10,FALSE),"")</f>
        <v/>
      </c>
      <c r="L41" s="47"/>
      <c r="M41" s="212">
        <v>27</v>
      </c>
      <c r="N41" s="123"/>
      <c r="O41" s="123"/>
      <c r="W41" s="33"/>
    </row>
    <row r="42" spans="1:23" s="34" customFormat="1" ht="20.100000000000001" customHeight="1" x14ac:dyDescent="0.15">
      <c r="A42" s="124" t="str">
        <f t="shared" si="2"/>
        <v/>
      </c>
      <c r="B42" s="125"/>
      <c r="C42" s="125" t="str">
        <f>IFERROR(IF(VLOOKUP($A42,TableHandbook[],3,FALSE)=0,"",VLOOKUP($A42,TableHandbook[],3,FALSE)),"")</f>
        <v/>
      </c>
      <c r="D42" s="129" t="str">
        <f>IFERROR(IF(VLOOKUP($A42,TableHandbook[],4,FALSE)=0,"",VLOOKUP($A42,TableHandbook[],4,FALSE)),"")</f>
        <v/>
      </c>
      <c r="E42" s="125"/>
      <c r="F42" s="127" t="str">
        <f>IFERROR(IF(VLOOKUP($A42,TableHandbook[],6,FALSE)=0,"",VLOOKUP($A42,TableHandbook[],6,FALSE)),"")</f>
        <v/>
      </c>
      <c r="G42" s="128" t="str">
        <f>IFERROR(IF(VLOOKUP($A42,TableHandbook[],5,FALSE)=0,"",VLOOKUP($A42,TableHandbook[],5,FALSE)),"")</f>
        <v/>
      </c>
      <c r="H42" s="116" t="str">
        <f>IFERROR(VLOOKUP(A42,TableHandbook[],7,FALSE),"")</f>
        <v/>
      </c>
      <c r="I42" s="113" t="str">
        <f>IFERROR(VLOOKUP(A42,TableHandbook[],8,FALSE),"")</f>
        <v/>
      </c>
      <c r="J42" s="113" t="str">
        <f>IFERROR(VLOOKUP(A42,TableHandbook[],9,FALSE),"")</f>
        <v/>
      </c>
      <c r="K42" s="117" t="str">
        <f>IFERROR(VLOOKUP(A42,TableHandbook[],10,FALSE),"")</f>
        <v/>
      </c>
      <c r="L42" s="47"/>
      <c r="M42" s="212">
        <v>28</v>
      </c>
      <c r="N42" s="123"/>
      <c r="O42" s="123"/>
      <c r="W42" s="33"/>
    </row>
    <row r="43" spans="1:23" s="34" customFormat="1" ht="20.100000000000001" customHeight="1" x14ac:dyDescent="0.15">
      <c r="A43" s="124" t="str">
        <f t="shared" si="2"/>
        <v/>
      </c>
      <c r="B43" s="125"/>
      <c r="C43" s="125" t="str">
        <f>IFERROR(IF(VLOOKUP($A43,TableHandbook[],3,FALSE)=0,"",VLOOKUP($A43,TableHandbook[],3,FALSE)),"")</f>
        <v/>
      </c>
      <c r="D43" s="129" t="str">
        <f>IFERROR(IF(VLOOKUP($A43,TableHandbook[],4,FALSE)=0,"",VLOOKUP($A43,TableHandbook[],4,FALSE)),"")</f>
        <v/>
      </c>
      <c r="E43" s="125"/>
      <c r="F43" s="127" t="str">
        <f>IFERROR(IF(VLOOKUP($A43,TableHandbook[],6,FALSE)=0,"",VLOOKUP($A43,TableHandbook[],6,FALSE)),"")</f>
        <v/>
      </c>
      <c r="G43" s="128" t="str">
        <f>IFERROR(IF(VLOOKUP($A43,TableHandbook[],5,FALSE)=0,"",VLOOKUP($A43,TableHandbook[],5,FALSE)),"")</f>
        <v/>
      </c>
      <c r="H43" s="116" t="str">
        <f>IFERROR(VLOOKUP(A43,TableHandbook[],7,FALSE),"")</f>
        <v/>
      </c>
      <c r="I43" s="113" t="str">
        <f>IFERROR(VLOOKUP(A43,TableHandbook[],8,FALSE),"")</f>
        <v/>
      </c>
      <c r="J43" s="113" t="str">
        <f>IFERROR(VLOOKUP(A43,TableHandbook[],9,FALSE),"")</f>
        <v/>
      </c>
      <c r="K43" s="117" t="str">
        <f>IFERROR(VLOOKUP(A43,TableHandbook[],10,FALSE),"")</f>
        <v/>
      </c>
      <c r="L43" s="47"/>
      <c r="M43" s="212">
        <v>29</v>
      </c>
      <c r="N43" s="123"/>
      <c r="O43" s="123"/>
      <c r="W43" s="33"/>
    </row>
    <row r="44" spans="1:23" s="34" customFormat="1" ht="20.100000000000001" customHeight="1" x14ac:dyDescent="0.15">
      <c r="A44" s="124" t="str">
        <f t="shared" si="2"/>
        <v/>
      </c>
      <c r="B44" s="125"/>
      <c r="C44" s="125" t="str">
        <f>IFERROR(IF(VLOOKUP($A44,TableHandbook[],3,FALSE)=0,"",VLOOKUP($A44,TableHandbook[],3,FALSE)),"")</f>
        <v/>
      </c>
      <c r="D44" s="129" t="str">
        <f>IFERROR(IF(VLOOKUP($A44,TableHandbook[],4,FALSE)=0,"",VLOOKUP($A44,TableHandbook[],4,FALSE)),"")</f>
        <v/>
      </c>
      <c r="E44" s="125"/>
      <c r="F44" s="127" t="str">
        <f>IFERROR(IF(VLOOKUP($A44,TableHandbook[],6,FALSE)=0,"",VLOOKUP($A44,TableHandbook[],6,FALSE)),"")</f>
        <v/>
      </c>
      <c r="G44" s="128" t="str">
        <f>IFERROR(IF(VLOOKUP($A44,TableHandbook[],5,FALSE)=0,"",VLOOKUP($A44,TableHandbook[],5,FALSE)),"")</f>
        <v/>
      </c>
      <c r="H44" s="116" t="str">
        <f>IFERROR(VLOOKUP(A44,TableHandbook[],7,FALSE),"")</f>
        <v/>
      </c>
      <c r="I44" s="113" t="str">
        <f>IFERROR(VLOOKUP(A44,TableHandbook[],8,FALSE),"")</f>
        <v/>
      </c>
      <c r="J44" s="113" t="str">
        <f>IFERROR(VLOOKUP(A44,TableHandbook[],9,FALSE),"")</f>
        <v/>
      </c>
      <c r="K44" s="117" t="str">
        <f>IFERROR(VLOOKUP(A44,TableHandbook[],10,FALSE),"")</f>
        <v/>
      </c>
      <c r="L44" s="47"/>
      <c r="M44" s="212">
        <v>30</v>
      </c>
      <c r="N44" s="123"/>
      <c r="O44" s="123"/>
      <c r="W44" s="33"/>
    </row>
    <row r="45" spans="1:23" s="34" customFormat="1" ht="20.100000000000001" customHeight="1" x14ac:dyDescent="0.15">
      <c r="A45" s="124" t="str">
        <f t="shared" si="2"/>
        <v/>
      </c>
      <c r="B45" s="125"/>
      <c r="C45" s="125" t="str">
        <f>IFERROR(IF(VLOOKUP($A45,TableHandbook[],3,FALSE)=0,"",VLOOKUP($A45,TableHandbook[],3,FALSE)),"")</f>
        <v/>
      </c>
      <c r="D45" s="129" t="str">
        <f>IFERROR(IF(VLOOKUP($A45,TableHandbook[],4,FALSE)=0,"",VLOOKUP($A45,TableHandbook[],4,FALSE)),"")</f>
        <v/>
      </c>
      <c r="E45" s="125"/>
      <c r="F45" s="127" t="str">
        <f>IFERROR(IF(VLOOKUP($A45,TableHandbook[],6,FALSE)=0,"",VLOOKUP($A45,TableHandbook[],6,FALSE)),"")</f>
        <v/>
      </c>
      <c r="G45" s="128" t="str">
        <f>IFERROR(IF(VLOOKUP($A45,TableHandbook[],5,FALSE)=0,"",VLOOKUP($A45,TableHandbook[],5,FALSE)),"")</f>
        <v/>
      </c>
      <c r="H45" s="116" t="str">
        <f>IFERROR(VLOOKUP(A45,TableHandbook[],7,FALSE),"")</f>
        <v/>
      </c>
      <c r="I45" s="113" t="str">
        <f>IFERROR(VLOOKUP(A45,TableHandbook[],8,FALSE),"")</f>
        <v/>
      </c>
      <c r="J45" s="113" t="str">
        <f>IFERROR(VLOOKUP(A45,TableHandbook[],9,FALSE),"")</f>
        <v/>
      </c>
      <c r="K45" s="117" t="str">
        <f>IFERROR(VLOOKUP(A45,TableHandbook[],10,FALSE),"")</f>
        <v/>
      </c>
      <c r="L45" s="47"/>
      <c r="M45" s="212">
        <v>31</v>
      </c>
      <c r="N45" s="123"/>
      <c r="O45" s="123"/>
      <c r="W45" s="33"/>
    </row>
    <row r="46" spans="1:23" s="34" customFormat="1" ht="20.100000000000001" customHeight="1" x14ac:dyDescent="0.15">
      <c r="A46" s="124" t="str">
        <f t="shared" si="2"/>
        <v/>
      </c>
      <c r="B46" s="125"/>
      <c r="C46" s="125" t="str">
        <f>IFERROR(IF(VLOOKUP($A46,TableHandbook[],3,FALSE)=0,"",VLOOKUP($A46,TableHandbook[],3,FALSE)),"")</f>
        <v/>
      </c>
      <c r="D46" s="129" t="str">
        <f>IFERROR(IF(VLOOKUP($A46,TableHandbook[],4,FALSE)=0,"",VLOOKUP($A46,TableHandbook[],4,FALSE)),"")</f>
        <v/>
      </c>
      <c r="E46" s="125"/>
      <c r="F46" s="127" t="str">
        <f>IFERROR(IF(VLOOKUP($A46,TableHandbook[],6,FALSE)=0,"",VLOOKUP($A46,TableHandbook[],6,FALSE)),"")</f>
        <v/>
      </c>
      <c r="G46" s="128" t="str">
        <f>IFERROR(IF(VLOOKUP($A46,TableHandbook[],5,FALSE)=0,"",VLOOKUP($A46,TableHandbook[],5,FALSE)),"")</f>
        <v/>
      </c>
      <c r="H46" s="116" t="str">
        <f>IFERROR(VLOOKUP(A46,TableHandbook[],7,FALSE),"")</f>
        <v/>
      </c>
      <c r="I46" s="113" t="str">
        <f>IFERROR(VLOOKUP(A46,TableHandbook[],8,FALSE),"")</f>
        <v/>
      </c>
      <c r="J46" s="113" t="str">
        <f>IFERROR(VLOOKUP(A46,TableHandbook[],9,FALSE),"")</f>
        <v/>
      </c>
      <c r="K46" s="117" t="str">
        <f>IFERROR(VLOOKUP(A46,TableHandbook[],10,FALSE),"")</f>
        <v/>
      </c>
      <c r="L46" s="47"/>
      <c r="M46" s="212">
        <v>32</v>
      </c>
      <c r="N46" s="123"/>
      <c r="O46" s="123"/>
      <c r="W46" s="33"/>
    </row>
    <row r="47" spans="1:23" s="34" customFormat="1" ht="20.100000000000001" customHeight="1" x14ac:dyDescent="0.15">
      <c r="A47" s="124" t="str">
        <f t="shared" si="2"/>
        <v/>
      </c>
      <c r="B47" s="125"/>
      <c r="C47" s="125" t="str">
        <f>IFERROR(IF(VLOOKUP($A47,TableHandbook[],3,FALSE)=0,"",VLOOKUP($A47,TableHandbook[],3,FALSE)),"")</f>
        <v/>
      </c>
      <c r="D47" s="129" t="str">
        <f>IFERROR(IF(VLOOKUP($A47,TableHandbook[],4,FALSE)=0,"",VLOOKUP($A47,TableHandbook[],4,FALSE)),"")</f>
        <v/>
      </c>
      <c r="E47" s="128"/>
      <c r="F47" s="127" t="str">
        <f>IFERROR(IF(VLOOKUP($A47,TableHandbook[],6,FALSE)=0,"",VLOOKUP($A47,TableHandbook[],6,FALSE)),"")</f>
        <v/>
      </c>
      <c r="G47" s="128" t="str">
        <f>IFERROR(IF(VLOOKUP($A47,TableHandbook[],5,FALSE)=0,"",VLOOKUP($A47,TableHandbook[],5,FALSE)),"")</f>
        <v/>
      </c>
      <c r="H47" s="116" t="str">
        <f>IFERROR(VLOOKUP(A47,TableHandbook[],7,FALSE),"")</f>
        <v/>
      </c>
      <c r="I47" s="113" t="str">
        <f>IFERROR(VLOOKUP(A47,TableHandbook[],8,FALSE),"")</f>
        <v/>
      </c>
      <c r="J47" s="113" t="str">
        <f>IFERROR(VLOOKUP(A47,TableHandbook[],9,FALSE),"")</f>
        <v/>
      </c>
      <c r="K47" s="117" t="str">
        <f>IFERROR(VLOOKUP(A47,TableHandbook[],10,FALSE),"")</f>
        <v/>
      </c>
      <c r="L47" s="47"/>
      <c r="M47" s="212">
        <v>33</v>
      </c>
      <c r="N47" s="123"/>
      <c r="O47" s="123"/>
      <c r="W47" s="33"/>
    </row>
    <row r="48" spans="1:23" s="38" customFormat="1" ht="13.9" customHeight="1" x14ac:dyDescent="0.2">
      <c r="A48" s="130"/>
      <c r="B48" s="130"/>
      <c r="C48" s="130"/>
      <c r="D48" s="131"/>
      <c r="E48" s="132"/>
      <c r="F48" s="133"/>
      <c r="G48" s="133"/>
      <c r="H48" s="133"/>
      <c r="I48" s="133"/>
      <c r="J48" s="133"/>
      <c r="K48" s="133"/>
      <c r="L48" s="133"/>
      <c r="M48" s="214"/>
      <c r="N48" s="134"/>
      <c r="O48" s="134"/>
      <c r="W48" s="37"/>
    </row>
    <row r="49" spans="1:23" ht="17.25" x14ac:dyDescent="0.25">
      <c r="A49" s="135" t="str">
        <f>D6</f>
        <v>Choose your Specialisation (drop-down list)</v>
      </c>
      <c r="B49" s="136"/>
      <c r="C49" s="136"/>
      <c r="D49" s="137"/>
      <c r="E49" s="138"/>
      <c r="F49" s="139"/>
      <c r="G49" s="139"/>
      <c r="H49" s="140" t="s">
        <v>19</v>
      </c>
      <c r="I49" s="141"/>
      <c r="J49" s="142"/>
      <c r="K49" s="143"/>
      <c r="L49" s="254" t="e">
        <f>VLOOKUP(D6,TableSpecialisations[],2,FALSE)</f>
        <v>#N/A</v>
      </c>
      <c r="M49" s="211"/>
      <c r="W49" s="28"/>
    </row>
    <row r="50" spans="1:23" s="40" customFormat="1" x14ac:dyDescent="0.25">
      <c r="A50" s="144"/>
      <c r="B50" s="145"/>
      <c r="C50" s="102" t="s">
        <v>21</v>
      </c>
      <c r="D50" s="103" t="s">
        <v>3</v>
      </c>
      <c r="E50" s="146"/>
      <c r="F50" s="146" t="s">
        <v>33</v>
      </c>
      <c r="G50" s="146" t="s">
        <v>24</v>
      </c>
      <c r="H50" s="147" t="s">
        <v>25</v>
      </c>
      <c r="I50" s="148" t="s">
        <v>26</v>
      </c>
      <c r="J50" s="148" t="s">
        <v>27</v>
      </c>
      <c r="K50" s="149" t="s">
        <v>28</v>
      </c>
      <c r="L50" s="102" t="s">
        <v>29</v>
      </c>
      <c r="M50" s="211"/>
      <c r="W50" s="39"/>
    </row>
    <row r="51" spans="1:23" x14ac:dyDescent="0.25">
      <c r="A51" s="252" t="str">
        <f t="shared" ref="A51:A59" si="3">IFERROR(IF(HLOOKUP($L$49,RangeSpecSets,M51,FALSE)=0,"",HLOOKUP($L$49,RangeSpecSets,M51,FALSE)),"")</f>
        <v/>
      </c>
      <c r="B51" s="199" t="str">
        <f>IFERROR(IF(VLOOKUP($A51,TableHandbook[],2,FALSE)=0,"",VLOOKUP($A51,TableHandbook[],2,FALSE)),"")</f>
        <v/>
      </c>
      <c r="C51" s="199" t="str">
        <f>IFERROR(IF(VLOOKUP($A51,TableHandbook[],3,FALSE)=0,"",VLOOKUP($A51,TableHandbook[],3,FALSE)),"")</f>
        <v/>
      </c>
      <c r="D51" s="150" t="str">
        <f>IFERROR(IF(VLOOKUP($A51,TableHandbook[],4,FALSE)=0,"",VLOOKUP($A51,TableHandbook[],4,FALSE)),"")</f>
        <v/>
      </c>
      <c r="E51" s="151"/>
      <c r="F51" s="115" t="str">
        <f>IFERROR(IF(VLOOKUP($A51,TableHandbook[],6,FALSE)=0,"",VLOOKUP($A51,TableHandbook[],6,FALSE)),"")</f>
        <v/>
      </c>
      <c r="G51" s="151" t="str">
        <f>IFERROR(IF(VLOOKUP($A51,TableHandbook[],5,FALSE)=0,"",VLOOKUP($A51,TableHandbook[],5,FALSE)),"")</f>
        <v/>
      </c>
      <c r="H51" s="152" t="str">
        <f>IFERROR(VLOOKUP(A51,TableHandbook[],7,FALSE),"")</f>
        <v/>
      </c>
      <c r="I51" s="153" t="str">
        <f>IFERROR(VLOOKUP(A51,TableHandbook[],8,FALSE),"")</f>
        <v/>
      </c>
      <c r="J51" s="153" t="str">
        <f>IFERROR(VLOOKUP(A51,TableHandbook[],9,FALSE),"")</f>
        <v/>
      </c>
      <c r="K51" s="154" t="str">
        <f>IFERROR(VLOOKUP(A51,TableHandbook[],10,FALSE),"")</f>
        <v/>
      </c>
      <c r="L51" s="93"/>
      <c r="M51" s="212">
        <v>2</v>
      </c>
      <c r="W51" s="28"/>
    </row>
    <row r="52" spans="1:23" x14ac:dyDescent="0.25">
      <c r="A52" s="252" t="str">
        <f t="shared" si="3"/>
        <v/>
      </c>
      <c r="B52" s="199" t="str">
        <f>IFERROR(IF(VLOOKUP($A52,TableHandbook[],2,FALSE)=0,"",VLOOKUP($A52,TableHandbook[],2,FALSE)),"")</f>
        <v/>
      </c>
      <c r="C52" s="199" t="str">
        <f>IFERROR(IF(VLOOKUP($A52,TableHandbook[],3,FALSE)=0,"",VLOOKUP($A52,TableHandbook[],3,FALSE)),"")</f>
        <v/>
      </c>
      <c r="D52" s="150" t="str">
        <f>IFERROR(IF(VLOOKUP($A52,TableHandbook[],4,FALSE)=0,"",VLOOKUP($A52,TableHandbook[],4,FALSE)),"")</f>
        <v/>
      </c>
      <c r="E52" s="151"/>
      <c r="F52" s="115" t="str">
        <f>IFERROR(IF(VLOOKUP($A52,TableHandbook[],6,FALSE)=0,"",VLOOKUP($A52,TableHandbook[],6,FALSE)),"")</f>
        <v/>
      </c>
      <c r="G52" s="151" t="str">
        <f>IFERROR(IF(VLOOKUP($A52,TableHandbook[],5,FALSE)=0,"",VLOOKUP($A52,TableHandbook[],5,FALSE)),"")</f>
        <v/>
      </c>
      <c r="H52" s="152" t="str">
        <f>IFERROR(VLOOKUP(A52,TableHandbook[],7,FALSE),"")</f>
        <v/>
      </c>
      <c r="I52" s="153" t="str">
        <f>IFERROR(VLOOKUP(A52,TableHandbook[],8,FALSE),"")</f>
        <v/>
      </c>
      <c r="J52" s="153" t="str">
        <f>IFERROR(VLOOKUP(A52,TableHandbook[],9,FALSE),"")</f>
        <v/>
      </c>
      <c r="K52" s="154" t="str">
        <f>IFERROR(VLOOKUP(A52,TableHandbook[],10,FALSE),"")</f>
        <v/>
      </c>
      <c r="L52" s="93"/>
      <c r="M52" s="212">
        <v>3</v>
      </c>
      <c r="W52" s="28"/>
    </row>
    <row r="53" spans="1:23" x14ac:dyDescent="0.25">
      <c r="A53" s="252" t="str">
        <f t="shared" si="3"/>
        <v/>
      </c>
      <c r="B53" s="199" t="str">
        <f>IFERROR(IF(VLOOKUP($A53,TableHandbook[],2,FALSE)=0,"",VLOOKUP($A53,TableHandbook[],2,FALSE)),"")</f>
        <v/>
      </c>
      <c r="C53" s="199" t="str">
        <f>IFERROR(IF(VLOOKUP($A53,TableHandbook[],3,FALSE)=0,"",VLOOKUP($A53,TableHandbook[],3,FALSE)),"")</f>
        <v/>
      </c>
      <c r="D53" s="150" t="str">
        <f>IFERROR(IF(VLOOKUP($A53,TableHandbook[],4,FALSE)=0,"",VLOOKUP($A53,TableHandbook[],4,FALSE)),"")</f>
        <v/>
      </c>
      <c r="E53" s="151"/>
      <c r="F53" s="115" t="str">
        <f>IFERROR(IF(VLOOKUP($A53,TableHandbook[],6,FALSE)=0,"",VLOOKUP($A53,TableHandbook[],6,FALSE)),"")</f>
        <v/>
      </c>
      <c r="G53" s="151" t="str">
        <f>IFERROR(IF(VLOOKUP($A53,TableHandbook[],5,FALSE)=0,"",VLOOKUP($A53,TableHandbook[],5,FALSE)),"")</f>
        <v/>
      </c>
      <c r="H53" s="152" t="str">
        <f>IFERROR(VLOOKUP(A53,TableHandbook[],7,FALSE),"")</f>
        <v/>
      </c>
      <c r="I53" s="153" t="str">
        <f>IFERROR(VLOOKUP(A53,TableHandbook[],8,FALSE),"")</f>
        <v/>
      </c>
      <c r="J53" s="153" t="str">
        <f>IFERROR(VLOOKUP(A53,TableHandbook[],9,FALSE),"")</f>
        <v/>
      </c>
      <c r="K53" s="154" t="str">
        <f>IFERROR(VLOOKUP(A53,TableHandbook[],10,FALSE),"")</f>
        <v/>
      </c>
      <c r="L53" s="93"/>
      <c r="M53" s="212">
        <v>4</v>
      </c>
      <c r="W53" s="28"/>
    </row>
    <row r="54" spans="1:23" x14ac:dyDescent="0.25">
      <c r="A54" s="252" t="str">
        <f t="shared" si="3"/>
        <v/>
      </c>
      <c r="B54" s="199" t="str">
        <f>IFERROR(IF(VLOOKUP($A54,TableHandbook[],2,FALSE)=0,"",VLOOKUP($A54,TableHandbook[],2,FALSE)),"")</f>
        <v/>
      </c>
      <c r="C54" s="199" t="str">
        <f>IFERROR(IF(VLOOKUP($A54,TableHandbook[],3,FALSE)=0,"",VLOOKUP($A54,TableHandbook[],3,FALSE)),"")</f>
        <v/>
      </c>
      <c r="D54" s="150" t="str">
        <f>IFERROR(IF(VLOOKUP($A54,TableHandbook[],4,FALSE)=0,"",VLOOKUP($A54,TableHandbook[],4,FALSE)),"")</f>
        <v/>
      </c>
      <c r="E54" s="151"/>
      <c r="F54" s="115" t="str">
        <f>IFERROR(IF(VLOOKUP($A54,TableHandbook[],6,FALSE)=0,"",VLOOKUP($A54,TableHandbook[],6,FALSE)),"")</f>
        <v/>
      </c>
      <c r="G54" s="151" t="str">
        <f>IFERROR(IF(VLOOKUP($A54,TableHandbook[],5,FALSE)=0,"",VLOOKUP($A54,TableHandbook[],5,FALSE)),"")</f>
        <v/>
      </c>
      <c r="H54" s="152" t="str">
        <f>IFERROR(VLOOKUP(A54,TableHandbook[],7,FALSE),"")</f>
        <v/>
      </c>
      <c r="I54" s="153" t="str">
        <f>IFERROR(VLOOKUP(A54,TableHandbook[],8,FALSE),"")</f>
        <v/>
      </c>
      <c r="J54" s="153" t="str">
        <f>IFERROR(VLOOKUP(A54,TableHandbook[],9,FALSE),"")</f>
        <v/>
      </c>
      <c r="K54" s="154" t="str">
        <f>IFERROR(VLOOKUP(A54,TableHandbook[],10,FALSE),"")</f>
        <v/>
      </c>
      <c r="L54" s="93"/>
      <c r="M54" s="212">
        <v>5</v>
      </c>
      <c r="W54" s="28"/>
    </row>
    <row r="55" spans="1:23" x14ac:dyDescent="0.25">
      <c r="A55" s="252" t="str">
        <f t="shared" si="3"/>
        <v/>
      </c>
      <c r="B55" s="199" t="str">
        <f>IFERROR(IF(VLOOKUP($A55,TableHandbook[],2,FALSE)=0,"",VLOOKUP($A55,TableHandbook[],2,FALSE)),"")</f>
        <v/>
      </c>
      <c r="C55" s="199" t="str">
        <f>IFERROR(IF(VLOOKUP($A55,TableHandbook[],3,FALSE)=0,"",VLOOKUP($A55,TableHandbook[],3,FALSE)),"")</f>
        <v/>
      </c>
      <c r="D55" s="150" t="str">
        <f>IFERROR(IF(VLOOKUP($A55,TableHandbook[],4,FALSE)=0,"",VLOOKUP($A55,TableHandbook[],4,FALSE)),"")</f>
        <v/>
      </c>
      <c r="E55" s="151"/>
      <c r="F55" s="115" t="str">
        <f>IFERROR(IF(VLOOKUP($A55,TableHandbook[],6,FALSE)=0,"",VLOOKUP($A55,TableHandbook[],6,FALSE)),"")</f>
        <v/>
      </c>
      <c r="G55" s="151" t="str">
        <f>IFERROR(IF(VLOOKUP($A55,TableHandbook[],5,FALSE)=0,"",VLOOKUP($A55,TableHandbook[],5,FALSE)),"")</f>
        <v/>
      </c>
      <c r="H55" s="152" t="str">
        <f>IFERROR(VLOOKUP(A55,TableHandbook[],7,FALSE),"")</f>
        <v/>
      </c>
      <c r="I55" s="153" t="str">
        <f>IFERROR(VLOOKUP(A55,TableHandbook[],8,FALSE),"")</f>
        <v/>
      </c>
      <c r="J55" s="153" t="str">
        <f>IFERROR(VLOOKUP(A55,TableHandbook[],9,FALSE),"")</f>
        <v/>
      </c>
      <c r="K55" s="154" t="str">
        <f>IFERROR(VLOOKUP(A55,TableHandbook[],10,FALSE),"")</f>
        <v/>
      </c>
      <c r="L55" s="93"/>
      <c r="M55" s="212">
        <v>6</v>
      </c>
      <c r="W55" s="28"/>
    </row>
    <row r="56" spans="1:23" x14ac:dyDescent="0.25">
      <c r="A56" s="252" t="str">
        <f t="shared" si="3"/>
        <v/>
      </c>
      <c r="B56" s="199" t="str">
        <f>IFERROR(IF(VLOOKUP($A56,TableHandbook[],2,FALSE)=0,"",VLOOKUP($A56,TableHandbook[],2,FALSE)),"")</f>
        <v/>
      </c>
      <c r="C56" s="199" t="str">
        <f>IFERROR(IF(VLOOKUP($A56,TableHandbook[],3,FALSE)=0,"",VLOOKUP($A56,TableHandbook[],3,FALSE)),"")</f>
        <v/>
      </c>
      <c r="D56" s="150" t="str">
        <f>IFERROR(IF(VLOOKUP($A56,TableHandbook[],4,FALSE)=0,"",VLOOKUP($A56,TableHandbook[],4,FALSE)),"")</f>
        <v/>
      </c>
      <c r="E56" s="151"/>
      <c r="F56" s="115" t="str">
        <f>IFERROR(IF(VLOOKUP($A56,TableHandbook[],6,FALSE)=0,"",VLOOKUP($A56,TableHandbook[],6,FALSE)),"")</f>
        <v/>
      </c>
      <c r="G56" s="151" t="str">
        <f>IFERROR(IF(VLOOKUP($A56,TableHandbook[],5,FALSE)=0,"",VLOOKUP($A56,TableHandbook[],5,FALSE)),"")</f>
        <v/>
      </c>
      <c r="H56" s="152" t="str">
        <f>IFERROR(VLOOKUP(A56,TableHandbook[],7,FALSE),"")</f>
        <v/>
      </c>
      <c r="I56" s="153" t="str">
        <f>IFERROR(VLOOKUP(A56,TableHandbook[],8,FALSE),"")</f>
        <v/>
      </c>
      <c r="J56" s="153" t="str">
        <f>IFERROR(VLOOKUP(A56,TableHandbook[],9,FALSE),"")</f>
        <v/>
      </c>
      <c r="K56" s="154" t="str">
        <f>IFERROR(VLOOKUP(A56,TableHandbook[],10,FALSE),"")</f>
        <v/>
      </c>
      <c r="L56" s="93"/>
      <c r="M56" s="212">
        <v>7</v>
      </c>
      <c r="W56" s="28"/>
    </row>
    <row r="57" spans="1:23" x14ac:dyDescent="0.25">
      <c r="A57" s="252" t="str">
        <f t="shared" si="3"/>
        <v/>
      </c>
      <c r="B57" s="199" t="str">
        <f>IFERROR(IF(VLOOKUP($A57,TableHandbook[],2,FALSE)=0,"",VLOOKUP($A57,TableHandbook[],2,FALSE)),"")</f>
        <v/>
      </c>
      <c r="C57" s="199" t="str">
        <f>IFERROR(IF(VLOOKUP($A57,TableHandbook[],3,FALSE)=0,"",VLOOKUP($A57,TableHandbook[],3,FALSE)),"")</f>
        <v/>
      </c>
      <c r="D57" s="150" t="str">
        <f>IFERROR(IF(VLOOKUP($A57,TableHandbook[],4,FALSE)=0,"",VLOOKUP($A57,TableHandbook[],4,FALSE)),"")</f>
        <v/>
      </c>
      <c r="E57" s="151"/>
      <c r="F57" s="115" t="str">
        <f>IFERROR(IF(VLOOKUP($A57,TableHandbook[],6,FALSE)=0,"",VLOOKUP($A57,TableHandbook[],6,FALSE)),"")</f>
        <v/>
      </c>
      <c r="G57" s="151" t="str">
        <f>IFERROR(IF(VLOOKUP($A57,TableHandbook[],5,FALSE)=0,"",VLOOKUP($A57,TableHandbook[],5,FALSE)),"")</f>
        <v/>
      </c>
      <c r="H57" s="152" t="str">
        <f>IFERROR(VLOOKUP(A57,TableHandbook[],7,FALSE),"")</f>
        <v/>
      </c>
      <c r="I57" s="153" t="str">
        <f>IFERROR(VLOOKUP(A57,TableHandbook[],8,FALSE),"")</f>
        <v/>
      </c>
      <c r="J57" s="153" t="str">
        <f>IFERROR(VLOOKUP(A57,TableHandbook[],9,FALSE),"")</f>
        <v/>
      </c>
      <c r="K57" s="154" t="str">
        <f>IFERROR(VLOOKUP(A57,TableHandbook[],10,FALSE),"")</f>
        <v/>
      </c>
      <c r="L57" s="93"/>
      <c r="M57" s="212">
        <v>8</v>
      </c>
      <c r="W57" s="28"/>
    </row>
    <row r="58" spans="1:23" x14ac:dyDescent="0.25">
      <c r="A58" s="252" t="str">
        <f t="shared" si="3"/>
        <v/>
      </c>
      <c r="B58" s="199" t="str">
        <f>IFERROR(IF(VLOOKUP($A58,TableHandbook[],2,FALSE)=0,"",VLOOKUP($A58,TableHandbook[],2,FALSE)),"")</f>
        <v/>
      </c>
      <c r="C58" s="199" t="str">
        <f>IFERROR(IF(VLOOKUP($A58,TableHandbook[],3,FALSE)=0,"",VLOOKUP($A58,TableHandbook[],3,FALSE)),"")</f>
        <v/>
      </c>
      <c r="D58" s="150" t="str">
        <f>IFERROR(IF(VLOOKUP($A58,TableHandbook[],4,FALSE)=0,"",VLOOKUP($A58,TableHandbook[],4,FALSE)),"")</f>
        <v/>
      </c>
      <c r="E58" s="151"/>
      <c r="F58" s="115" t="str">
        <f>IFERROR(IF(VLOOKUP($A58,TableHandbook[],6,FALSE)=0,"",VLOOKUP($A58,TableHandbook[],6,FALSE)),"")</f>
        <v/>
      </c>
      <c r="G58" s="151" t="str">
        <f>IFERROR(IF(VLOOKUP($A58,TableHandbook[],5,FALSE)=0,"",VLOOKUP($A58,TableHandbook[],5,FALSE)),"")</f>
        <v/>
      </c>
      <c r="H58" s="152" t="str">
        <f>IFERROR(VLOOKUP(A58,TableHandbook[],7,FALSE),"")</f>
        <v/>
      </c>
      <c r="I58" s="153" t="str">
        <f>IFERROR(VLOOKUP(A58,TableHandbook[],8,FALSE),"")</f>
        <v/>
      </c>
      <c r="J58" s="153" t="str">
        <f>IFERROR(VLOOKUP(A58,TableHandbook[],9,FALSE),"")</f>
        <v/>
      </c>
      <c r="K58" s="154" t="str">
        <f>IFERROR(VLOOKUP(A58,TableHandbook[],10,FALSE),"")</f>
        <v/>
      </c>
      <c r="L58" s="93"/>
      <c r="M58" s="212">
        <v>9</v>
      </c>
      <c r="W58" s="28"/>
    </row>
    <row r="59" spans="1:23" x14ac:dyDescent="0.25">
      <c r="A59" s="252" t="str">
        <f t="shared" si="3"/>
        <v/>
      </c>
      <c r="B59" s="199" t="str">
        <f>IFERROR(IF(VLOOKUP($A59,TableHandbook[],2,FALSE)=0,"",VLOOKUP($A59,TableHandbook[],2,FALSE)),"")</f>
        <v/>
      </c>
      <c r="C59" s="199" t="str">
        <f>IFERROR(IF(VLOOKUP($A59,TableHandbook[],3,FALSE)=0,"",VLOOKUP($A59,TableHandbook[],3,FALSE)),"")</f>
        <v/>
      </c>
      <c r="D59" s="150" t="str">
        <f>IFERROR(IF(VLOOKUP($A59,TableHandbook[],4,FALSE)=0,"",VLOOKUP($A59,TableHandbook[],4,FALSE)),"")</f>
        <v/>
      </c>
      <c r="E59" s="151"/>
      <c r="F59" s="115" t="str">
        <f>IFERROR(IF(VLOOKUP($A59,TableHandbook[],6,FALSE)=0,"",VLOOKUP($A59,TableHandbook[],6,FALSE)),"")</f>
        <v/>
      </c>
      <c r="G59" s="151" t="str">
        <f>IFERROR(IF(VLOOKUP($A59,TableHandbook[],5,FALSE)=0,"",VLOOKUP($A59,TableHandbook[],5,FALSE)),"")</f>
        <v/>
      </c>
      <c r="H59" s="152" t="str">
        <f>IFERROR(VLOOKUP(A59,TableHandbook[],7,FALSE),"")</f>
        <v/>
      </c>
      <c r="I59" s="153" t="str">
        <f>IFERROR(VLOOKUP(A59,TableHandbook[],8,FALSE),"")</f>
        <v/>
      </c>
      <c r="J59" s="153" t="str">
        <f>IFERROR(VLOOKUP(A59,TableHandbook[],9,FALSE),"")</f>
        <v/>
      </c>
      <c r="K59" s="154" t="str">
        <f>IFERROR(VLOOKUP(A59,TableHandbook[],10,FALSE),"")</f>
        <v/>
      </c>
      <c r="L59" s="93"/>
      <c r="M59" s="212">
        <v>10</v>
      </c>
      <c r="W59" s="28"/>
    </row>
    <row r="60" spans="1:23" ht="19.5" customHeight="1" x14ac:dyDescent="0.25">
      <c r="A60"/>
      <c r="B60"/>
      <c r="C60"/>
      <c r="D60"/>
      <c r="E60"/>
      <c r="F60"/>
      <c r="G60"/>
      <c r="H60"/>
      <c r="I60"/>
      <c r="J60"/>
      <c r="K60"/>
      <c r="L60"/>
      <c r="M60" s="118"/>
      <c r="W60" s="28"/>
    </row>
    <row r="61" spans="1:23" s="28" customFormat="1" ht="32.25" customHeight="1" x14ac:dyDescent="0.25">
      <c r="A61" s="265" t="s">
        <v>34</v>
      </c>
      <c r="B61" s="265"/>
      <c r="C61" s="265"/>
      <c r="D61" s="265"/>
      <c r="E61" s="265"/>
      <c r="F61" s="265"/>
      <c r="G61" s="265"/>
      <c r="H61" s="265"/>
      <c r="I61" s="265"/>
      <c r="J61" s="265"/>
      <c r="K61" s="265"/>
      <c r="L61" s="265"/>
      <c r="M61" s="26"/>
      <c r="N61" s="26"/>
      <c r="O61" s="26"/>
      <c r="P61" s="26"/>
      <c r="Q61" s="26"/>
      <c r="R61" s="26"/>
      <c r="S61" s="26"/>
      <c r="T61" s="26"/>
      <c r="U61" s="26"/>
      <c r="V61" s="26"/>
    </row>
    <row r="62" spans="1:23" s="36" customFormat="1" ht="24.95" customHeight="1" x14ac:dyDescent="0.3">
      <c r="A62" s="88" t="s">
        <v>35</v>
      </c>
      <c r="B62" s="88"/>
      <c r="C62" s="88"/>
      <c r="D62" s="89"/>
      <c r="E62" s="90"/>
      <c r="F62" s="89"/>
      <c r="G62" s="89"/>
      <c r="H62" s="89"/>
      <c r="I62" s="89"/>
      <c r="J62" s="89"/>
      <c r="K62" s="89"/>
      <c r="L62" s="89"/>
      <c r="M62" s="155"/>
      <c r="N62" s="155"/>
      <c r="O62" s="155"/>
      <c r="W62" s="35"/>
    </row>
    <row r="63" spans="1:23" s="28" customFormat="1" ht="15" customHeight="1" x14ac:dyDescent="0.25">
      <c r="A63" s="156" t="s">
        <v>36</v>
      </c>
      <c r="B63" s="156"/>
      <c r="C63" s="156"/>
      <c r="D63" s="156"/>
      <c r="E63" s="157"/>
      <c r="F63" s="133"/>
      <c r="G63" s="158"/>
      <c r="H63" s="158"/>
      <c r="I63" s="158"/>
      <c r="J63" s="158"/>
      <c r="K63" s="158"/>
      <c r="L63" s="158" t="s">
        <v>37</v>
      </c>
      <c r="M63" s="26"/>
      <c r="N63" s="26"/>
      <c r="O63" s="26"/>
      <c r="P63" s="26"/>
      <c r="Q63" s="26"/>
      <c r="R63" s="26"/>
      <c r="S63" s="26"/>
      <c r="T63" s="26"/>
      <c r="U63" s="26"/>
      <c r="V63" s="26"/>
    </row>
  </sheetData>
  <sheetProtection formatCells="0"/>
  <mergeCells count="2">
    <mergeCell ref="A3:D3"/>
    <mergeCell ref="A61:L61"/>
  </mergeCells>
  <conditionalFormatting sqref="D5:D7">
    <cfRule type="containsText" dxfId="177" priority="9" operator="containsText" text="Choose">
      <formula>NOT(ISERROR(SEARCH("Choose",D5)))</formula>
    </cfRule>
  </conditionalFormatting>
  <conditionalFormatting sqref="A10:L20 A21:B21 L21 A30:B30 L30 A40:L47 A39:B39 L39 A31:L38 A22:L29">
    <cfRule type="expression" dxfId="176" priority="4">
      <formula>$A10="Spec"</formula>
    </cfRule>
  </conditionalFormatting>
  <conditionalFormatting sqref="A51:L59">
    <cfRule type="expression" dxfId="175" priority="3">
      <formula>$A51=""</formula>
    </cfRule>
    <cfRule type="expression" dxfId="174" priority="6">
      <formula>OR(LEFT($D51,5)="Study",LEFT($D51,3)="and")</formula>
    </cfRule>
  </conditionalFormatting>
  <conditionalFormatting sqref="L50">
    <cfRule type="expression" dxfId="173" priority="2">
      <formula>$A50="Spec"</formula>
    </cfRule>
  </conditionalFormatting>
  <conditionalFormatting sqref="H10:K20">
    <cfRule type="expression" dxfId="172" priority="1">
      <formula>$E10=H$9</formula>
    </cfRule>
  </conditionalFormatting>
  <dataValidations count="1">
    <dataValidation type="list" allowBlank="1" showInputMessage="1" showErrorMessage="1" sqref="L15 L12 L18"/>
  </dataValidations>
  <hyperlinks>
    <hyperlink ref="A62:L62"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59" orientation="portrait" r:id="rId2"/>
  <rowBreaks count="1" manualBreakCount="1">
    <brk id="47" max="10"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Unitsets!$A$13:$A$17</xm:f>
          </x14:formula1>
          <xm:sqref>D7</xm:sqref>
        </x14:dataValidation>
        <x14:dataValidation type="list" showInputMessage="1" showErrorMessage="1">
          <x14:formula1>
            <xm:f>Unitsets!$A$20:$A$25</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
  <sheetViews>
    <sheetView showGridLines="0" tabSelected="1" topLeftCell="A3" zoomScaleNormal="100" workbookViewId="0">
      <selection activeCell="D6" sqref="D6"/>
    </sheetView>
  </sheetViews>
  <sheetFormatPr defaultRowHeight="15" x14ac:dyDescent="0.25"/>
  <cols>
    <col min="1" max="1" width="9.75" style="285" customWidth="1"/>
    <col min="2" max="2" width="3.25" style="285" customWidth="1"/>
    <col min="3" max="3" width="8" style="285" customWidth="1"/>
    <col min="4" max="4" width="53.125" style="274" bestFit="1" customWidth="1"/>
    <col min="5" max="5" width="7.5" style="274" customWidth="1"/>
    <col min="6" max="6" width="22.625" style="274" customWidth="1"/>
    <col min="7" max="7" width="5.625" style="274" customWidth="1"/>
    <col min="8" max="11" width="4.625" style="274" customWidth="1"/>
    <col min="12" max="12" width="16" style="274" customWidth="1"/>
    <col min="13" max="13" width="2.5" style="274" hidden="1" customWidth="1"/>
    <col min="14" max="16384" width="9" style="274"/>
  </cols>
  <sheetData>
    <row r="1" spans="1:16" hidden="1" x14ac:dyDescent="0.25">
      <c r="A1" s="270" t="s">
        <v>0</v>
      </c>
      <c r="B1" s="271" t="s">
        <v>1</v>
      </c>
      <c r="C1" s="271" t="s">
        <v>2</v>
      </c>
      <c r="D1" s="272" t="s">
        <v>3</v>
      </c>
      <c r="E1" s="272"/>
      <c r="F1" s="272" t="s">
        <v>4</v>
      </c>
      <c r="G1" s="272" t="s">
        <v>5</v>
      </c>
      <c r="H1" s="273" t="s">
        <v>6</v>
      </c>
      <c r="I1" s="272"/>
      <c r="J1" s="272"/>
      <c r="K1" s="272"/>
      <c r="L1" s="272" t="s">
        <v>7</v>
      </c>
    </row>
    <row r="2" spans="1:16" hidden="1" x14ac:dyDescent="0.25">
      <c r="A2" s="275"/>
      <c r="B2" s="276">
        <v>2</v>
      </c>
      <c r="C2" s="276">
        <v>3</v>
      </c>
      <c r="D2" s="276">
        <v>4</v>
      </c>
      <c r="E2" s="276"/>
      <c r="F2" s="276">
        <v>6</v>
      </c>
      <c r="G2" s="276">
        <v>5</v>
      </c>
      <c r="H2" s="276">
        <v>7</v>
      </c>
      <c r="I2" s="276">
        <v>8</v>
      </c>
      <c r="J2" s="276">
        <v>9</v>
      </c>
      <c r="K2" s="276">
        <v>10</v>
      </c>
      <c r="L2" s="277"/>
    </row>
    <row r="3" spans="1:16" ht="39.950000000000003" customHeight="1" x14ac:dyDescent="0.25">
      <c r="A3" s="278" t="s">
        <v>8</v>
      </c>
      <c r="B3" s="278"/>
      <c r="C3" s="278"/>
      <c r="D3" s="278"/>
      <c r="E3" s="279"/>
      <c r="F3" s="279"/>
      <c r="G3" s="279"/>
      <c r="H3" s="279"/>
      <c r="I3" s="279"/>
      <c r="J3" s="279"/>
      <c r="K3" s="279"/>
      <c r="L3" s="279"/>
    </row>
    <row r="4" spans="1:16" ht="25.5" x14ac:dyDescent="0.25">
      <c r="A4" s="280" t="s">
        <v>9</v>
      </c>
      <c r="B4" s="281"/>
      <c r="C4" s="281"/>
      <c r="D4" s="282"/>
      <c r="E4" s="282"/>
      <c r="F4" s="281"/>
      <c r="G4" s="283"/>
      <c r="H4" s="283"/>
      <c r="I4" s="283"/>
      <c r="J4" s="283"/>
      <c r="K4" s="283"/>
      <c r="L4" s="284"/>
    </row>
    <row r="5" spans="1:16" ht="20.100000000000001" customHeight="1" x14ac:dyDescent="0.25">
      <c r="B5" s="286"/>
      <c r="C5" s="287" t="s">
        <v>10</v>
      </c>
      <c r="D5" s="288" t="s">
        <v>38</v>
      </c>
      <c r="E5" s="289"/>
      <c r="F5" s="287" t="s">
        <v>12</v>
      </c>
      <c r="G5" s="289" t="str">
        <f>IFERROR(CONCATENATE(VLOOKUP(D5,TableCourses[],2,FALSE)," ",VLOOKUP(D5,TableCourses[],3,FALSE)),"")</f>
        <v>OB-INDSGN v.1</v>
      </c>
      <c r="H5" s="289"/>
      <c r="I5" s="289"/>
      <c r="J5" s="290"/>
      <c r="K5" s="290"/>
      <c r="L5" s="291" t="e">
        <f>CONCATENATE(VLOOKUP(D5,TableCourses[],2,FALSE),VLOOKUP(D7,TableStudyPeriod[],2,FALSE))</f>
        <v>#N/A</v>
      </c>
    </row>
    <row r="6" spans="1:16" ht="20.100000000000001" customHeight="1" x14ac:dyDescent="0.25">
      <c r="B6" s="286"/>
      <c r="C6" s="287" t="s">
        <v>13</v>
      </c>
      <c r="D6" s="91" t="s">
        <v>39</v>
      </c>
      <c r="E6" s="289"/>
      <c r="F6" s="287" t="s">
        <v>15</v>
      </c>
      <c r="G6" s="289" t="str">
        <f>IFERROR(CONCATENATE(VLOOKUP(D6,TableSpecialisations[],2,FALSE)," ",VLOOKUP(D6,TableSpecialisations[],3,FALSE)),"")</f>
        <v/>
      </c>
      <c r="H6" s="289"/>
      <c r="I6" s="289"/>
      <c r="J6" s="290"/>
      <c r="K6" s="290"/>
      <c r="L6" s="291" t="e">
        <f>CONCATENATE(VLOOKUP(D6,TableSpecialisations[],2,FALSE),VLOOKUP(D7,TableStudyPeriod[],2,FALSE))</f>
        <v>#N/A</v>
      </c>
    </row>
    <row r="7" spans="1:16" ht="20.100000000000001" customHeight="1" x14ac:dyDescent="0.25">
      <c r="A7" s="292"/>
      <c r="B7" s="293"/>
      <c r="C7" s="287" t="s">
        <v>16</v>
      </c>
      <c r="D7" s="92" t="s">
        <v>40</v>
      </c>
      <c r="E7" s="294"/>
      <c r="F7" s="287" t="s">
        <v>18</v>
      </c>
      <c r="G7" s="289" t="str">
        <f>IFERROR(VLOOKUP($D$5,TableCourses[],4,FALSE),"")</f>
        <v>600 credit points required</v>
      </c>
      <c r="H7" s="295"/>
      <c r="I7" s="295"/>
      <c r="J7" s="296"/>
      <c r="K7" s="296"/>
      <c r="L7" s="296"/>
    </row>
    <row r="8" spans="1:16" s="304" customFormat="1" ht="14.1" customHeight="1" x14ac:dyDescent="0.25">
      <c r="A8" s="297"/>
      <c r="B8" s="297"/>
      <c r="C8" s="297"/>
      <c r="D8" s="298"/>
      <c r="E8" s="299"/>
      <c r="F8" s="297"/>
      <c r="G8" s="297"/>
      <c r="H8" s="300" t="s">
        <v>19</v>
      </c>
      <c r="I8" s="301"/>
      <c r="J8" s="301"/>
      <c r="K8" s="302"/>
      <c r="L8" s="299"/>
      <c r="M8" s="303"/>
      <c r="N8" s="303"/>
      <c r="O8" s="303"/>
    </row>
    <row r="9" spans="1:16" s="304" customFormat="1" ht="21" x14ac:dyDescent="0.25">
      <c r="A9" s="297" t="s">
        <v>20</v>
      </c>
      <c r="B9" s="297"/>
      <c r="C9" s="297" t="s">
        <v>21</v>
      </c>
      <c r="D9" s="298" t="s">
        <v>3</v>
      </c>
      <c r="E9" s="305" t="s">
        <v>22</v>
      </c>
      <c r="F9" s="297" t="s">
        <v>23</v>
      </c>
      <c r="G9" s="297" t="s">
        <v>24</v>
      </c>
      <c r="H9" s="306" t="s">
        <v>25</v>
      </c>
      <c r="I9" s="305" t="s">
        <v>26</v>
      </c>
      <c r="J9" s="305" t="s">
        <v>27</v>
      </c>
      <c r="K9" s="307" t="s">
        <v>28</v>
      </c>
      <c r="L9" s="297" t="s">
        <v>29</v>
      </c>
      <c r="M9" s="303"/>
      <c r="N9" s="303"/>
      <c r="O9" s="303"/>
    </row>
    <row r="10" spans="1:16" s="316" customFormat="1" ht="20.100000000000001" customHeight="1" x14ac:dyDescent="0.15">
      <c r="A10" s="308" t="str">
        <f>IFERROR(IF(HLOOKUP($L$6,RangeUnitsets,M10,FALSE)=0,"",HLOOKUP($L$6,RangeUnitsets,M10,FALSE)),"")</f>
        <v/>
      </c>
      <c r="B10" s="309" t="str">
        <f>IFERROR(IF(VLOOKUP($A10,TableHandbook[],2,FALSE)=0,"",VLOOKUP($A10,TableHandbook[],2,FALSE)),"")</f>
        <v/>
      </c>
      <c r="C10" s="309" t="str">
        <f>IFERROR(IF(VLOOKUP($A10,TableHandbook[],3,FALSE)=0,"",VLOOKUP($A10,TableHandbook[],3,FALSE)),"")</f>
        <v/>
      </c>
      <c r="D10" s="310" t="str">
        <f>IFERROR(IF(VLOOKUP($A10,TableHandbook[],4,FALSE)=0,"",VLOOKUP($A10,TableHandbook[],4,FALSE)),"")</f>
        <v/>
      </c>
      <c r="E10" s="309" t="str">
        <f>IF(A10="","",VLOOKUP($D$7,TableStudyPeriod[],2,FALSE))</f>
        <v/>
      </c>
      <c r="F10" s="311" t="str">
        <f>IFERROR(IF(VLOOKUP($A10,TableHandbook[],6,FALSE)=0,"",VLOOKUP($A10,TableHandbook[],6,FALSE)),"")</f>
        <v/>
      </c>
      <c r="G10" s="309" t="str">
        <f>IFERROR(IF(VLOOKUP($A10,TableHandbook[],5,FALSE)=0,"",VLOOKUP($A10,TableHandbook[],5,FALSE)),"")</f>
        <v/>
      </c>
      <c r="H10" s="312" t="str">
        <f>IFERROR(VLOOKUP($A10,TableHandbook[],H$2,FALSE),"")</f>
        <v/>
      </c>
      <c r="I10" s="309" t="str">
        <f>IFERROR(VLOOKUP($A10,TableHandbook[],I$2,FALSE),"")</f>
        <v/>
      </c>
      <c r="J10" s="309" t="str">
        <f>IFERROR(VLOOKUP($A10,TableHandbook[],J$2,FALSE),"")</f>
        <v/>
      </c>
      <c r="K10" s="313" t="str">
        <f>IFERROR(VLOOKUP($A10,TableHandbook[],K$2,FALSE),"")</f>
        <v/>
      </c>
      <c r="L10" s="266"/>
      <c r="M10" s="314">
        <v>2</v>
      </c>
      <c r="N10" s="315"/>
      <c r="O10" s="315"/>
    </row>
    <row r="11" spans="1:16" s="316" customFormat="1" ht="20.100000000000001" customHeight="1" x14ac:dyDescent="0.15">
      <c r="A11" s="308" t="str">
        <f>IFERROR(IF(HLOOKUP($L$6,RangeUnitsets,M11,FALSE)=0,"",HLOOKUP($L$6,RangeUnitsets,M11,FALSE)),"")</f>
        <v/>
      </c>
      <c r="B11" s="309" t="str">
        <f>IFERROR(IF(VLOOKUP($A11,TableHandbook[],2,FALSE)=0,"",VLOOKUP($A11,TableHandbook[],2,FALSE)),"")</f>
        <v/>
      </c>
      <c r="C11" s="309" t="str">
        <f>IFERROR(IF(VLOOKUP($A11,TableHandbook[],3,FALSE)=0,"",VLOOKUP($A11,TableHandbook[],3,FALSE)),"")</f>
        <v/>
      </c>
      <c r="D11" s="310" t="str">
        <f>IFERROR(IF(VLOOKUP($A11,TableHandbook[],4,FALSE)=0,"",VLOOKUP($A11,TableHandbook[],4,FALSE)),"")</f>
        <v/>
      </c>
      <c r="E11" s="309" t="str">
        <f>IF(A11="","",E10)</f>
        <v/>
      </c>
      <c r="F11" s="311" t="str">
        <f>IFERROR(IF(VLOOKUP($A11,TableHandbook[],6,FALSE)=0,"",VLOOKUP($A11,TableHandbook[],6,FALSE)),"")</f>
        <v/>
      </c>
      <c r="G11" s="309" t="str">
        <f>IFERROR(IF(VLOOKUP($A11,TableHandbook[],5,FALSE)=0,"",VLOOKUP($A11,TableHandbook[],5,FALSE)),"")</f>
        <v/>
      </c>
      <c r="H11" s="312" t="str">
        <f>IFERROR(VLOOKUP(A11,TableHandbook[],7,FALSE),"")</f>
        <v/>
      </c>
      <c r="I11" s="309" t="str">
        <f>IFERROR(VLOOKUP(A11,TableHandbook[],8,FALSE),"")</f>
        <v/>
      </c>
      <c r="J11" s="309" t="str">
        <f>IFERROR(VLOOKUP(A11,TableHandbook[],9,FALSE),"")</f>
        <v/>
      </c>
      <c r="K11" s="313" t="str">
        <f>IFERROR(VLOOKUP(A11,TableHandbook[],10,FALSE),"")</f>
        <v/>
      </c>
      <c r="L11" s="266"/>
      <c r="M11" s="314">
        <v>3</v>
      </c>
      <c r="N11" s="315"/>
      <c r="O11" s="315"/>
    </row>
    <row r="12" spans="1:16" s="316" customFormat="1" ht="5.0999999999999996" customHeight="1" x14ac:dyDescent="0.15">
      <c r="A12" s="317"/>
      <c r="B12" s="318"/>
      <c r="C12" s="318"/>
      <c r="D12" s="319"/>
      <c r="E12" s="318"/>
      <c r="F12" s="320"/>
      <c r="G12" s="318"/>
      <c r="H12" s="321"/>
      <c r="I12" s="318"/>
      <c r="J12" s="318"/>
      <c r="K12" s="322"/>
      <c r="L12" s="267"/>
      <c r="M12" s="314"/>
      <c r="N12" s="315"/>
      <c r="O12" s="315"/>
      <c r="P12" s="315"/>
    </row>
    <row r="13" spans="1:16" s="316" customFormat="1" ht="20.100000000000001" customHeight="1" x14ac:dyDescent="0.15">
      <c r="A13" s="308" t="str">
        <f>IFERROR(IF(HLOOKUP($L$6,RangeUnitsets,M13,FALSE)=0,"",HLOOKUP($L$6,RangeUnitsets,M13,FALSE)),"")</f>
        <v/>
      </c>
      <c r="B13" s="309" t="str">
        <f>IFERROR(IF(VLOOKUP($A13,TableHandbook[],2,FALSE)=0,"",VLOOKUP($A13,TableHandbook[],2,FALSE)),"")</f>
        <v/>
      </c>
      <c r="C13" s="309" t="str">
        <f>IFERROR(IF(VLOOKUP($A13,TableHandbook[],3,FALSE)=0,"",VLOOKUP($A13,TableHandbook[],3,FALSE)),"")</f>
        <v/>
      </c>
      <c r="D13" s="310" t="str">
        <f>IFERROR(IF(VLOOKUP($A13,TableHandbook[],4,FALSE)=0,"",VLOOKUP($A13,TableHandbook[],4,FALSE)),"")</f>
        <v/>
      </c>
      <c r="E13" s="309" t="str">
        <f>IF(A13="","",VLOOKUP($D$7,TableStudyPeriod[],3,FALSE))</f>
        <v/>
      </c>
      <c r="F13" s="311" t="str">
        <f>IFERROR(IF(VLOOKUP($A13,TableHandbook[],6,FALSE)=0,"",VLOOKUP($A13,TableHandbook[],6,FALSE)),"")</f>
        <v/>
      </c>
      <c r="G13" s="309" t="str">
        <f>IFERROR(IF(VLOOKUP($A13,TableHandbook[],5,FALSE)=0,"",VLOOKUP($A13,TableHandbook[],5,FALSE)),"")</f>
        <v/>
      </c>
      <c r="H13" s="312" t="str">
        <f>IFERROR(VLOOKUP(A13,TableHandbook[],7,FALSE),"")</f>
        <v/>
      </c>
      <c r="I13" s="309" t="str">
        <f>IFERROR(VLOOKUP(A13,TableHandbook[],8,FALSE),"")</f>
        <v/>
      </c>
      <c r="J13" s="309" t="str">
        <f>IFERROR(VLOOKUP(A13,TableHandbook[],9,FALSE),"")</f>
        <v/>
      </c>
      <c r="K13" s="313" t="str">
        <f>IFERROR(VLOOKUP(A13,TableHandbook[],10,FALSE),"")</f>
        <v/>
      </c>
      <c r="L13" s="268"/>
      <c r="M13" s="314">
        <v>4</v>
      </c>
      <c r="N13" s="315"/>
      <c r="O13" s="315"/>
    </row>
    <row r="14" spans="1:16" s="316" customFormat="1" ht="20.100000000000001" customHeight="1" x14ac:dyDescent="0.15">
      <c r="A14" s="308" t="str">
        <f>IFERROR(IF(HLOOKUP($L$6,RangeUnitsets,M14,FALSE)=0,"",HLOOKUP($L$6,RangeUnitsets,M14,FALSE)),"")</f>
        <v/>
      </c>
      <c r="B14" s="309" t="str">
        <f>IFERROR(IF(VLOOKUP($A14,TableHandbook[],2,FALSE)=0,"",VLOOKUP($A14,TableHandbook[],2,FALSE)),"")</f>
        <v/>
      </c>
      <c r="C14" s="309" t="str">
        <f>IFERROR(IF(VLOOKUP($A14,TableHandbook[],3,FALSE)=0,"",VLOOKUP($A14,TableHandbook[],3,FALSE)),"")</f>
        <v/>
      </c>
      <c r="D14" s="310" t="str">
        <f>IFERROR(IF(VLOOKUP($A14,TableHandbook[],4,FALSE)=0,"",VLOOKUP($A14,TableHandbook[],4,FALSE)),"")</f>
        <v/>
      </c>
      <c r="E14" s="309" t="str">
        <f>IF(A14="","",E13)</f>
        <v/>
      </c>
      <c r="F14" s="311" t="str">
        <f>IFERROR(IF(VLOOKUP($A14,TableHandbook[],6,FALSE)=0,"",VLOOKUP($A14,TableHandbook[],6,FALSE)),"")</f>
        <v/>
      </c>
      <c r="G14" s="309" t="str">
        <f>IFERROR(IF(VLOOKUP($A14,TableHandbook[],5,FALSE)=0,"",VLOOKUP($A14,TableHandbook[],5,FALSE)),"")</f>
        <v/>
      </c>
      <c r="H14" s="312" t="str">
        <f>IFERROR(VLOOKUP(A14,TableHandbook[],7,FALSE),"")</f>
        <v/>
      </c>
      <c r="I14" s="309" t="str">
        <f>IFERROR(VLOOKUP(A14,TableHandbook[],8,FALSE),"")</f>
        <v/>
      </c>
      <c r="J14" s="309" t="str">
        <f>IFERROR(VLOOKUP(A14,TableHandbook[],9,FALSE),"")</f>
        <v/>
      </c>
      <c r="K14" s="313" t="str">
        <f>IFERROR(VLOOKUP(A14,TableHandbook[],10,FALSE),"")</f>
        <v/>
      </c>
      <c r="L14" s="266"/>
      <c r="M14" s="314">
        <v>5</v>
      </c>
      <c r="N14" s="315"/>
      <c r="O14" s="315"/>
    </row>
    <row r="15" spans="1:16" s="316" customFormat="1" ht="5.0999999999999996" customHeight="1" x14ac:dyDescent="0.15">
      <c r="A15" s="317"/>
      <c r="B15" s="318"/>
      <c r="C15" s="318"/>
      <c r="D15" s="319"/>
      <c r="E15" s="318"/>
      <c r="F15" s="320"/>
      <c r="G15" s="318"/>
      <c r="H15" s="321"/>
      <c r="I15" s="318"/>
      <c r="J15" s="318"/>
      <c r="K15" s="322"/>
      <c r="L15" s="267"/>
      <c r="M15" s="314"/>
      <c r="N15" s="315"/>
      <c r="O15" s="315"/>
      <c r="P15" s="315"/>
    </row>
    <row r="16" spans="1:16" s="316" customFormat="1" ht="20.100000000000001" customHeight="1" x14ac:dyDescent="0.15">
      <c r="A16" s="308" t="str">
        <f>IFERROR(IF(HLOOKUP($L$6,RangeUnitsets,M16,FALSE)=0,"",HLOOKUP($L$6,RangeUnitsets,M16,FALSE)),"")</f>
        <v/>
      </c>
      <c r="B16" s="323" t="str">
        <f>IFERROR(IF(VLOOKUP($A16,TableHandbook[],2,FALSE)=0,"",VLOOKUP($A16,TableHandbook[],2,FALSE)),"")</f>
        <v/>
      </c>
      <c r="C16" s="323" t="str">
        <f>IFERROR(IF(VLOOKUP($A16,TableHandbook[],3,FALSE)=0,"",VLOOKUP($A16,TableHandbook[],3,FALSE)),"")</f>
        <v/>
      </c>
      <c r="D16" s="310" t="str">
        <f>IFERROR(IF(VLOOKUP($A16,TableHandbook[],4,FALSE)=0,"",VLOOKUP($A16,TableHandbook[],4,FALSE)),"")</f>
        <v/>
      </c>
      <c r="E16" s="309" t="str">
        <f>IF(A16="","",VLOOKUP($D$7,TableStudyPeriod[],4,FALSE))</f>
        <v/>
      </c>
      <c r="F16" s="311" t="str">
        <f>IFERROR(IF(VLOOKUP($A16,TableHandbook[],6,FALSE)=0,"",VLOOKUP($A16,TableHandbook[],6,FALSE)),"")</f>
        <v/>
      </c>
      <c r="G16" s="323" t="str">
        <f>IFERROR(IF(VLOOKUP($A16,TableHandbook[],5,FALSE)=0,"",VLOOKUP($A16,TableHandbook[],5,FALSE)),"")</f>
        <v/>
      </c>
      <c r="H16" s="324" t="str">
        <f>IFERROR(VLOOKUP(A16,TableHandbook[],7,FALSE),"")</f>
        <v/>
      </c>
      <c r="I16" s="323" t="str">
        <f>IFERROR(VLOOKUP(A16,TableHandbook[],8,FALSE),"")</f>
        <v/>
      </c>
      <c r="J16" s="323" t="str">
        <f>IFERROR(VLOOKUP(A16,TableHandbook[],9,FALSE),"")</f>
        <v/>
      </c>
      <c r="K16" s="325" t="str">
        <f>IFERROR(VLOOKUP(A16,TableHandbook[],10,FALSE),"")</f>
        <v/>
      </c>
      <c r="L16" s="268"/>
      <c r="M16" s="314">
        <v>6</v>
      </c>
      <c r="N16" s="315"/>
      <c r="O16" s="315"/>
    </row>
    <row r="17" spans="1:16" s="327" customFormat="1" ht="20.100000000000001" customHeight="1" x14ac:dyDescent="0.15">
      <c r="A17" s="308" t="str">
        <f>IFERROR(IF(HLOOKUP($L$6,RangeUnitsets,M17,FALSE)=0,"",HLOOKUP($L$6,RangeUnitsets,M17,FALSE)),"")</f>
        <v/>
      </c>
      <c r="B17" s="323" t="str">
        <f>IFERROR(IF(VLOOKUP($A17,TableHandbook[],2,FALSE)=0,"",VLOOKUP($A17,TableHandbook[],2,FALSE)),"")</f>
        <v/>
      </c>
      <c r="C17" s="323" t="str">
        <f>IFERROR(IF(VLOOKUP($A17,TableHandbook[],3,FALSE)=0,"",VLOOKUP($A17,TableHandbook[],3,FALSE)),"")</f>
        <v/>
      </c>
      <c r="D17" s="310" t="str">
        <f>IFERROR(IF(VLOOKUP($A17,TableHandbook[],4,FALSE)=0,"",VLOOKUP($A17,TableHandbook[],4,FALSE)),"")</f>
        <v/>
      </c>
      <c r="E17" s="309" t="str">
        <f>IF(A17="","",E16)</f>
        <v/>
      </c>
      <c r="F17" s="311" t="str">
        <f>IFERROR(IF(VLOOKUP($A17,TableHandbook[],6,FALSE)=0,"",VLOOKUP($A17,TableHandbook[],6,FALSE)),"")</f>
        <v/>
      </c>
      <c r="G17" s="323" t="str">
        <f>IFERROR(IF(VLOOKUP($A17,TableHandbook[],5,FALSE)=0,"",VLOOKUP($A17,TableHandbook[],5,FALSE)),"")</f>
        <v/>
      </c>
      <c r="H17" s="324" t="str">
        <f>IFERROR(VLOOKUP(A17,TableHandbook[],7,FALSE),"")</f>
        <v/>
      </c>
      <c r="I17" s="323" t="str">
        <f>IFERROR(VLOOKUP(A17,TableHandbook[],8,FALSE),"")</f>
        <v/>
      </c>
      <c r="J17" s="323" t="str">
        <f>IFERROR(VLOOKUP(A17,TableHandbook[],9,FALSE),"")</f>
        <v/>
      </c>
      <c r="K17" s="325" t="str">
        <f>IFERROR(VLOOKUP(A17,TableHandbook[],10,FALSE),"")</f>
        <v/>
      </c>
      <c r="L17" s="268"/>
      <c r="M17" s="314">
        <v>7</v>
      </c>
      <c r="N17" s="326"/>
      <c r="O17" s="326"/>
    </row>
    <row r="18" spans="1:16" s="316" customFormat="1" ht="5.0999999999999996" customHeight="1" x14ac:dyDescent="0.15">
      <c r="A18" s="317"/>
      <c r="B18" s="318"/>
      <c r="C18" s="318"/>
      <c r="D18" s="319"/>
      <c r="E18" s="318"/>
      <c r="F18" s="320"/>
      <c r="G18" s="318"/>
      <c r="H18" s="321"/>
      <c r="I18" s="318"/>
      <c r="J18" s="318"/>
      <c r="K18" s="322"/>
      <c r="L18" s="267"/>
      <c r="M18" s="314"/>
      <c r="N18" s="315"/>
      <c r="O18" s="315"/>
      <c r="P18" s="315"/>
    </row>
    <row r="19" spans="1:16" s="327" customFormat="1" ht="20.100000000000001" customHeight="1" x14ac:dyDescent="0.15">
      <c r="A19" s="308" t="str">
        <f>IFERROR(IF(HLOOKUP($L$6,RangeUnitsets,M19,FALSE)=0,"",HLOOKUP($L$6,RangeUnitsets,M19,FALSE)),"")</f>
        <v/>
      </c>
      <c r="B19" s="323" t="str">
        <f>IFERROR(IF(VLOOKUP($A19,TableHandbook[],2,FALSE)=0,"",VLOOKUP($A19,TableHandbook[],2,FALSE)),"")</f>
        <v/>
      </c>
      <c r="C19" s="323" t="str">
        <f>IFERROR(IF(VLOOKUP($A19,TableHandbook[],3,FALSE)=0,"",VLOOKUP($A19,TableHandbook[],3,FALSE)),"")</f>
        <v/>
      </c>
      <c r="D19" s="310" t="str">
        <f>IFERROR(IF(VLOOKUP($A19,TableHandbook[],4,FALSE)=0,"",VLOOKUP($A19,TableHandbook[],4,FALSE)),"")</f>
        <v/>
      </c>
      <c r="E19" s="309" t="str">
        <f>IF(A19="","",VLOOKUP($D$7,TableStudyPeriod[],5,FALSE))</f>
        <v/>
      </c>
      <c r="F19" s="311" t="str">
        <f>IFERROR(IF(VLOOKUP($A19,TableHandbook[],6,FALSE)=0,"",VLOOKUP($A19,TableHandbook[],6,FALSE)),"")</f>
        <v/>
      </c>
      <c r="G19" s="323" t="str">
        <f>IFERROR(IF(VLOOKUP($A19,TableHandbook[],5,FALSE)=0,"",VLOOKUP($A19,TableHandbook[],5,FALSE)),"")</f>
        <v/>
      </c>
      <c r="H19" s="324" t="str">
        <f>IFERROR(VLOOKUP(A19,TableHandbook[],7,FALSE),"")</f>
        <v/>
      </c>
      <c r="I19" s="323" t="str">
        <f>IFERROR(VLOOKUP(A19,TableHandbook[],8,FALSE),"")</f>
        <v/>
      </c>
      <c r="J19" s="323" t="str">
        <f>IFERROR(VLOOKUP(A19,TableHandbook[],9,FALSE),"")</f>
        <v/>
      </c>
      <c r="K19" s="325" t="str">
        <f>IFERROR(VLOOKUP(A19,TableHandbook[],10,FALSE),"")</f>
        <v/>
      </c>
      <c r="L19" s="268"/>
      <c r="M19" s="314">
        <v>8</v>
      </c>
      <c r="N19" s="326"/>
      <c r="O19" s="326"/>
    </row>
    <row r="20" spans="1:16" s="327" customFormat="1" ht="20.100000000000001" customHeight="1" x14ac:dyDescent="0.15">
      <c r="A20" s="308" t="str">
        <f>IFERROR(IF(HLOOKUP($L$6,RangeUnitsets,M20,FALSE)=0,"",HLOOKUP($L$6,RangeUnitsets,M20,FALSE)),"")</f>
        <v/>
      </c>
      <c r="B20" s="323" t="str">
        <f>IFERROR(IF(VLOOKUP($A20,TableHandbook[],2,FALSE)=0,"",VLOOKUP($A20,TableHandbook[],2,FALSE)),"")</f>
        <v/>
      </c>
      <c r="C20" s="323" t="str">
        <f>IFERROR(IF(VLOOKUP($A20,TableHandbook[],3,FALSE)=0,"",VLOOKUP($A20,TableHandbook[],3,FALSE)),"")</f>
        <v/>
      </c>
      <c r="D20" s="328" t="str">
        <f>IFERROR(IF(VLOOKUP($A20,TableHandbook[],4,FALSE)=0,"",VLOOKUP($A20,TableHandbook[],4,FALSE)),"")</f>
        <v/>
      </c>
      <c r="E20" s="323" t="str">
        <f>IF(A20="","",E19)</f>
        <v/>
      </c>
      <c r="F20" s="311" t="str">
        <f>IFERROR(IF(VLOOKUP($A20,TableHandbook[],6,FALSE)=0,"",VLOOKUP($A20,TableHandbook[],6,FALSE)),"")</f>
        <v/>
      </c>
      <c r="G20" s="323" t="str">
        <f>IFERROR(IF(VLOOKUP($A20,TableHandbook[],5,FALSE)=0,"",VLOOKUP($A20,TableHandbook[],5,FALSE)),"")</f>
        <v/>
      </c>
      <c r="H20" s="324" t="str">
        <f>IFERROR(VLOOKUP(A20,TableHandbook[],7,FALSE),"")</f>
        <v/>
      </c>
      <c r="I20" s="323" t="str">
        <f>IFERROR(VLOOKUP(A20,TableHandbook[],8,FALSE),"")</f>
        <v/>
      </c>
      <c r="J20" s="323" t="str">
        <f>IFERROR(VLOOKUP(A20,TableHandbook[],9,FALSE),"")</f>
        <v/>
      </c>
      <c r="K20" s="325" t="str">
        <f>IFERROR(VLOOKUP(A20,TableHandbook[],10,FALSE),"")</f>
        <v/>
      </c>
      <c r="L20" s="268"/>
      <c r="M20" s="314">
        <v>9</v>
      </c>
      <c r="N20" s="326"/>
      <c r="O20" s="326"/>
    </row>
    <row r="21" spans="1:16" s="304" customFormat="1" ht="21" x14ac:dyDescent="0.25">
      <c r="A21" s="297" t="s">
        <v>30</v>
      </c>
      <c r="B21" s="297"/>
      <c r="C21" s="297" t="s">
        <v>21</v>
      </c>
      <c r="D21" s="329" t="s">
        <v>3</v>
      </c>
      <c r="E21" s="305" t="s">
        <v>22</v>
      </c>
      <c r="F21" s="297" t="s">
        <v>23</v>
      </c>
      <c r="G21" s="297" t="s">
        <v>24</v>
      </c>
      <c r="H21" s="306" t="s">
        <v>25</v>
      </c>
      <c r="I21" s="305" t="s">
        <v>26</v>
      </c>
      <c r="J21" s="305" t="s">
        <v>27</v>
      </c>
      <c r="K21" s="307" t="s">
        <v>28</v>
      </c>
      <c r="L21" s="297" t="s">
        <v>29</v>
      </c>
      <c r="M21" s="330"/>
      <c r="N21" s="303"/>
      <c r="O21" s="303"/>
    </row>
    <row r="22" spans="1:16" s="316" customFormat="1" ht="20.100000000000001" customHeight="1" x14ac:dyDescent="0.15">
      <c r="A22" s="331" t="str">
        <f t="shared" ref="A22:A29" si="0">IFERROR(IF(HLOOKUP($L$6,RangeUnitsets,M22,FALSE)=0,"",HLOOKUP($L$6,RangeUnitsets,M22,FALSE)),"")</f>
        <v/>
      </c>
      <c r="B22" s="332" t="str">
        <f>IFERROR(IF(VLOOKUP($A22,TableHandbook[],2,FALSE)=0,"",VLOOKUP($A22,TableHandbook[],2,FALSE)),"")</f>
        <v/>
      </c>
      <c r="C22" s="332" t="str">
        <f>IFERROR(IF(VLOOKUP($A22,TableHandbook[],3,FALSE)=0,"",VLOOKUP($A22,TableHandbook[],3,FALSE)),"")</f>
        <v/>
      </c>
      <c r="D22" s="333" t="str">
        <f>IFERROR(IF(VLOOKUP($A22,TableHandbook[],4,FALSE)=0,"",VLOOKUP($A22,TableHandbook[],4,FALSE)),"")</f>
        <v/>
      </c>
      <c r="E22" s="332"/>
      <c r="F22" s="334" t="str">
        <f>IFERROR(IF(VLOOKUP($A22,TableHandbook[],6,FALSE)=0,"",VLOOKUP($A22,TableHandbook[],6,FALSE)),"")</f>
        <v/>
      </c>
      <c r="G22" s="335" t="str">
        <f>IFERROR(IF(VLOOKUP($A22,TableHandbook[],5,FALSE)=0,"",VLOOKUP($A22,TableHandbook[],5,FALSE)),"")</f>
        <v/>
      </c>
      <c r="H22" s="336" t="str">
        <f>IFERROR(VLOOKUP(A22,TableHandbook[],7,FALSE),"")</f>
        <v/>
      </c>
      <c r="I22" s="335" t="str">
        <f>IFERROR(VLOOKUP(A22,TableHandbook[],8,FALSE),"")</f>
        <v/>
      </c>
      <c r="J22" s="335" t="str">
        <f>IFERROR(VLOOKUP(A22,TableHandbook[],9,FALSE),"")</f>
        <v/>
      </c>
      <c r="K22" s="337" t="str">
        <f>IFERROR(VLOOKUP(A22,TableHandbook[],10,FALSE),"")</f>
        <v/>
      </c>
      <c r="L22" s="269"/>
      <c r="M22" s="314">
        <v>10</v>
      </c>
      <c r="N22" s="315"/>
      <c r="O22" s="315"/>
    </row>
    <row r="23" spans="1:16" s="316" customFormat="1" ht="20.100000000000001" customHeight="1" x14ac:dyDescent="0.15">
      <c r="A23" s="331" t="str">
        <f t="shared" si="0"/>
        <v/>
      </c>
      <c r="B23" s="332" t="str">
        <f>IFERROR(IF(VLOOKUP($A23,TableHandbook[],2,FALSE)=0,"",VLOOKUP($A23,TableHandbook[],2,FALSE)),"")</f>
        <v/>
      </c>
      <c r="C23" s="332" t="str">
        <f>IFERROR(IF(VLOOKUP($A23,TableHandbook[],3,FALSE)=0,"",VLOOKUP($A23,TableHandbook[],3,FALSE)),"")</f>
        <v/>
      </c>
      <c r="D23" s="339" t="str">
        <f>IFERROR(IF(VLOOKUP($A23,TableHandbook[],4,FALSE)=0,"",VLOOKUP($A23,TableHandbook[],4,FALSE)),"")</f>
        <v/>
      </c>
      <c r="E23" s="332"/>
      <c r="F23" s="334" t="str">
        <f>IFERROR(IF(VLOOKUP($A23,TableHandbook[],6,FALSE)=0,"",VLOOKUP($A23,TableHandbook[],6,FALSE)),"")</f>
        <v/>
      </c>
      <c r="G23" s="335" t="str">
        <f>IFERROR(IF(VLOOKUP($A23,TableHandbook[],5,FALSE)=0,"",VLOOKUP($A23,TableHandbook[],5,FALSE)),"")</f>
        <v/>
      </c>
      <c r="H23" s="336" t="str">
        <f>IFERROR(VLOOKUP(A23,TableHandbook[],7,FALSE),"")</f>
        <v/>
      </c>
      <c r="I23" s="335" t="str">
        <f>IFERROR(VLOOKUP(A23,TableHandbook[],8,FALSE),"")</f>
        <v/>
      </c>
      <c r="J23" s="335" t="str">
        <f>IFERROR(VLOOKUP(A23,TableHandbook[],9,FALSE),"")</f>
        <v/>
      </c>
      <c r="K23" s="337" t="str">
        <f>IFERROR(VLOOKUP(A23,TableHandbook[],10,FALSE),"")</f>
        <v/>
      </c>
      <c r="L23" s="269"/>
      <c r="M23" s="314">
        <v>11</v>
      </c>
      <c r="N23" s="315"/>
      <c r="O23" s="315"/>
    </row>
    <row r="24" spans="1:16" s="316" customFormat="1" ht="20.100000000000001" customHeight="1" x14ac:dyDescent="0.15">
      <c r="A24" s="331" t="str">
        <f t="shared" si="0"/>
        <v/>
      </c>
      <c r="B24" s="332" t="str">
        <f>IFERROR(IF(VLOOKUP($A24,TableHandbook[],2,FALSE)=0,"",VLOOKUP($A24,TableHandbook[],2,FALSE)),"")</f>
        <v/>
      </c>
      <c r="C24" s="332" t="str">
        <f>IFERROR(IF(VLOOKUP($A24,TableHandbook[],3,FALSE)=0,"",VLOOKUP($A24,TableHandbook[],3,FALSE)),"")</f>
        <v/>
      </c>
      <c r="D24" s="339" t="str">
        <f>IFERROR(IF(VLOOKUP($A24,TableHandbook[],4,FALSE)=0,"",VLOOKUP($A24,TableHandbook[],4,FALSE)),"")</f>
        <v/>
      </c>
      <c r="E24" s="332"/>
      <c r="F24" s="334" t="str">
        <f>IFERROR(IF(VLOOKUP($A24,TableHandbook[],6,FALSE)=0,"",VLOOKUP($A24,TableHandbook[],6,FALSE)),"")</f>
        <v/>
      </c>
      <c r="G24" s="335" t="str">
        <f>IFERROR(IF(VLOOKUP($A24,TableHandbook[],5,FALSE)=0,"",VLOOKUP($A24,TableHandbook[],5,FALSE)),"")</f>
        <v/>
      </c>
      <c r="H24" s="336" t="str">
        <f>IFERROR(VLOOKUP(A24,TableHandbook[],7,FALSE),"")</f>
        <v/>
      </c>
      <c r="I24" s="335" t="str">
        <f>IFERROR(VLOOKUP(A24,TableHandbook[],8,FALSE),"")</f>
        <v/>
      </c>
      <c r="J24" s="335" t="str">
        <f>IFERROR(VLOOKUP(A24,TableHandbook[],9,FALSE),"")</f>
        <v/>
      </c>
      <c r="K24" s="337" t="str">
        <f>IFERROR(VLOOKUP(A24,TableHandbook[],10,FALSE),"")</f>
        <v/>
      </c>
      <c r="L24" s="269"/>
      <c r="M24" s="314">
        <v>12</v>
      </c>
      <c r="N24" s="315"/>
      <c r="O24" s="315"/>
    </row>
    <row r="25" spans="1:16" s="316" customFormat="1" ht="20.100000000000001" customHeight="1" x14ac:dyDescent="0.15">
      <c r="A25" s="331" t="str">
        <f t="shared" si="0"/>
        <v/>
      </c>
      <c r="B25" s="332" t="str">
        <f>IFERROR(IF(VLOOKUP($A25,TableHandbook[],2,FALSE)=0,"",VLOOKUP($A25,TableHandbook[],2,FALSE)),"")</f>
        <v/>
      </c>
      <c r="C25" s="332" t="str">
        <f>IFERROR(IF(VLOOKUP($A25,TableHandbook[],3,FALSE)=0,"",VLOOKUP($A25,TableHandbook[],3,FALSE)),"")</f>
        <v/>
      </c>
      <c r="D25" s="339" t="str">
        <f>IFERROR(IF(VLOOKUP($A25,TableHandbook[],4,FALSE)=0,"",VLOOKUP($A25,TableHandbook[],4,FALSE)),"")</f>
        <v/>
      </c>
      <c r="E25" s="332"/>
      <c r="F25" s="334" t="str">
        <f>IFERROR(IF(VLOOKUP($A25,TableHandbook[],6,FALSE)=0,"",VLOOKUP($A25,TableHandbook[],6,FALSE)),"")</f>
        <v/>
      </c>
      <c r="G25" s="335" t="str">
        <f>IFERROR(IF(VLOOKUP($A25,TableHandbook[],5,FALSE)=0,"",VLOOKUP($A25,TableHandbook[],5,FALSE)),"")</f>
        <v/>
      </c>
      <c r="H25" s="336" t="str">
        <f>IFERROR(VLOOKUP(A25,TableHandbook[],7,FALSE),"")</f>
        <v/>
      </c>
      <c r="I25" s="335" t="str">
        <f>IFERROR(VLOOKUP(A25,TableHandbook[],8,FALSE),"")</f>
        <v/>
      </c>
      <c r="J25" s="335" t="str">
        <f>IFERROR(VLOOKUP(A25,TableHandbook[],9,FALSE),"")</f>
        <v/>
      </c>
      <c r="K25" s="337" t="str">
        <f>IFERROR(VLOOKUP(A25,TableHandbook[],10,FALSE),"")</f>
        <v/>
      </c>
      <c r="L25" s="269"/>
      <c r="M25" s="314">
        <v>13</v>
      </c>
      <c r="N25" s="315"/>
      <c r="O25" s="315"/>
    </row>
    <row r="26" spans="1:16" s="316" customFormat="1" ht="20.100000000000001" customHeight="1" x14ac:dyDescent="0.15">
      <c r="A26" s="331" t="str">
        <f t="shared" si="0"/>
        <v/>
      </c>
      <c r="B26" s="332" t="str">
        <f>IFERROR(IF(VLOOKUP($A26,TableHandbook[],2,FALSE)=0,"",VLOOKUP($A26,TableHandbook[],2,FALSE)),"")</f>
        <v/>
      </c>
      <c r="C26" s="332" t="str">
        <f>IFERROR(IF(VLOOKUP($A26,TableHandbook[],3,FALSE)=0,"",VLOOKUP($A26,TableHandbook[],3,FALSE)),"")</f>
        <v/>
      </c>
      <c r="D26" s="339" t="str">
        <f>IFERROR(IF(VLOOKUP($A26,TableHandbook[],4,FALSE)=0,"",VLOOKUP($A26,TableHandbook[],4,FALSE)),"")</f>
        <v/>
      </c>
      <c r="E26" s="332"/>
      <c r="F26" s="334" t="str">
        <f>IFERROR(IF(VLOOKUP($A26,TableHandbook[],6,FALSE)=0,"",VLOOKUP($A26,TableHandbook[],6,FALSE)),"")</f>
        <v/>
      </c>
      <c r="G26" s="335" t="str">
        <f>IFERROR(IF(VLOOKUP($A26,TableHandbook[],5,FALSE)=0,"",VLOOKUP($A26,TableHandbook[],5,FALSE)),"")</f>
        <v/>
      </c>
      <c r="H26" s="336" t="str">
        <f>IFERROR(VLOOKUP(A26,TableHandbook[],7,FALSE),"")</f>
        <v/>
      </c>
      <c r="I26" s="335" t="str">
        <f>IFERROR(VLOOKUP(A26,TableHandbook[],8,FALSE),"")</f>
        <v/>
      </c>
      <c r="J26" s="335" t="str">
        <f>IFERROR(VLOOKUP(A26,TableHandbook[],9,FALSE),"")</f>
        <v/>
      </c>
      <c r="K26" s="337" t="str">
        <f>IFERROR(VLOOKUP(A26,TableHandbook[],10,FALSE),"")</f>
        <v/>
      </c>
      <c r="L26" s="269"/>
      <c r="M26" s="314">
        <v>14</v>
      </c>
      <c r="N26" s="315"/>
      <c r="O26" s="315"/>
    </row>
    <row r="27" spans="1:16" s="316" customFormat="1" ht="20.100000000000001" customHeight="1" x14ac:dyDescent="0.15">
      <c r="A27" s="331" t="str">
        <f t="shared" si="0"/>
        <v/>
      </c>
      <c r="B27" s="332" t="str">
        <f>IFERROR(IF(VLOOKUP($A27,TableHandbook[],2,FALSE)=0,"",VLOOKUP($A27,TableHandbook[],2,FALSE)),"")</f>
        <v/>
      </c>
      <c r="C27" s="332" t="str">
        <f>IFERROR(IF(VLOOKUP($A27,TableHandbook[],3,FALSE)=0,"",VLOOKUP($A27,TableHandbook[],3,FALSE)),"")</f>
        <v/>
      </c>
      <c r="D27" s="339" t="str">
        <f>IFERROR(IF(VLOOKUP($A27,TableHandbook[],4,FALSE)=0,"",VLOOKUP($A27,TableHandbook[],4,FALSE)),"")</f>
        <v/>
      </c>
      <c r="E27" s="332"/>
      <c r="F27" s="334" t="str">
        <f>IFERROR(IF(VLOOKUP($A27,TableHandbook[],6,FALSE)=0,"",VLOOKUP($A27,TableHandbook[],6,FALSE)),"")</f>
        <v/>
      </c>
      <c r="G27" s="335" t="str">
        <f>IFERROR(IF(VLOOKUP($A27,TableHandbook[],5,FALSE)=0,"",VLOOKUP($A27,TableHandbook[],5,FALSE)),"")</f>
        <v/>
      </c>
      <c r="H27" s="336" t="str">
        <f>IFERROR(VLOOKUP(A27,TableHandbook[],7,FALSE),"")</f>
        <v/>
      </c>
      <c r="I27" s="335" t="str">
        <f>IFERROR(VLOOKUP(A27,TableHandbook[],8,FALSE),"")</f>
        <v/>
      </c>
      <c r="J27" s="335" t="str">
        <f>IFERROR(VLOOKUP(A27,TableHandbook[],9,FALSE),"")</f>
        <v/>
      </c>
      <c r="K27" s="337" t="str">
        <f>IFERROR(VLOOKUP(A27,TableHandbook[],10,FALSE),"")</f>
        <v/>
      </c>
      <c r="L27" s="269"/>
      <c r="M27" s="314">
        <v>15</v>
      </c>
      <c r="N27" s="315"/>
      <c r="O27" s="315"/>
    </row>
    <row r="28" spans="1:16" s="327" customFormat="1" ht="20.100000000000001" customHeight="1" x14ac:dyDescent="0.15">
      <c r="A28" s="331" t="str">
        <f t="shared" si="0"/>
        <v/>
      </c>
      <c r="B28" s="332" t="str">
        <f>IFERROR(IF(VLOOKUP($A28,TableHandbook[],2,FALSE)=0,"",VLOOKUP($A28,TableHandbook[],2,FALSE)),"")</f>
        <v/>
      </c>
      <c r="C28" s="332" t="str">
        <f>IFERROR(IF(VLOOKUP($A28,TableHandbook[],3,FALSE)=0,"",VLOOKUP($A28,TableHandbook[],3,FALSE)),"")</f>
        <v/>
      </c>
      <c r="D28" s="339" t="str">
        <f>IFERROR(IF(VLOOKUP($A28,TableHandbook[],4,FALSE)=0,"",VLOOKUP($A28,TableHandbook[],4,FALSE)),"")</f>
        <v/>
      </c>
      <c r="E28" s="332"/>
      <c r="F28" s="334" t="str">
        <f>IFERROR(IF(VLOOKUP($A28,TableHandbook[],6,FALSE)=0,"",VLOOKUP($A28,TableHandbook[],6,FALSE)),"")</f>
        <v/>
      </c>
      <c r="G28" s="335" t="str">
        <f>IFERROR(IF(VLOOKUP($A28,TableHandbook[],5,FALSE)=0,"",VLOOKUP($A28,TableHandbook[],5,FALSE)),"")</f>
        <v/>
      </c>
      <c r="H28" s="336" t="str">
        <f>IFERROR(VLOOKUP(A28,TableHandbook[],7,FALSE),"")</f>
        <v/>
      </c>
      <c r="I28" s="335" t="str">
        <f>IFERROR(VLOOKUP(A28,TableHandbook[],8,FALSE),"")</f>
        <v/>
      </c>
      <c r="J28" s="335" t="str">
        <f>IFERROR(VLOOKUP(A28,TableHandbook[],9,FALSE),"")</f>
        <v/>
      </c>
      <c r="K28" s="337" t="str">
        <f>IFERROR(VLOOKUP(A28,TableHandbook[],10,FALSE),"")</f>
        <v/>
      </c>
      <c r="L28" s="269"/>
      <c r="M28" s="314">
        <v>16</v>
      </c>
      <c r="N28" s="326"/>
      <c r="O28" s="326"/>
    </row>
    <row r="29" spans="1:16" s="327" customFormat="1" ht="20.100000000000001" customHeight="1" x14ac:dyDescent="0.15">
      <c r="A29" s="331" t="str">
        <f t="shared" si="0"/>
        <v/>
      </c>
      <c r="B29" s="332" t="str">
        <f>IFERROR(IF(VLOOKUP($A29,TableHandbook[],2,FALSE)=0,"",VLOOKUP($A29,TableHandbook[],2,FALSE)),"")</f>
        <v/>
      </c>
      <c r="C29" s="332" t="str">
        <f>IFERROR(IF(VLOOKUP($A29,TableHandbook[],3,FALSE)=0,"",VLOOKUP($A29,TableHandbook[],3,FALSE)),"")</f>
        <v/>
      </c>
      <c r="D29" s="339" t="str">
        <f>IFERROR(IF(VLOOKUP($A29,TableHandbook[],4,FALSE)=0,"",VLOOKUP($A29,TableHandbook[],4,FALSE)),"")</f>
        <v/>
      </c>
      <c r="E29" s="335"/>
      <c r="F29" s="334" t="str">
        <f>IFERROR(IF(VLOOKUP($A29,TableHandbook[],6,FALSE)=0,"",VLOOKUP($A29,TableHandbook[],6,FALSE)),"")</f>
        <v/>
      </c>
      <c r="G29" s="335" t="str">
        <f>IFERROR(IF(VLOOKUP($A29,TableHandbook[],5,FALSE)=0,"",VLOOKUP($A29,TableHandbook[],5,FALSE)),"")</f>
        <v/>
      </c>
      <c r="H29" s="336" t="str">
        <f>IFERROR(VLOOKUP(A29,TableHandbook[],7,FALSE),"")</f>
        <v/>
      </c>
      <c r="I29" s="335" t="str">
        <f>IFERROR(VLOOKUP(A29,TableHandbook[],8,FALSE),"")</f>
        <v/>
      </c>
      <c r="J29" s="335" t="str">
        <f>IFERROR(VLOOKUP(A29,TableHandbook[],9,FALSE),"")</f>
        <v/>
      </c>
      <c r="K29" s="337" t="str">
        <f>IFERROR(VLOOKUP(A29,TableHandbook[],10,FALSE),"")</f>
        <v/>
      </c>
      <c r="L29" s="269"/>
      <c r="M29" s="314">
        <v>17</v>
      </c>
      <c r="N29" s="326"/>
      <c r="O29" s="326"/>
    </row>
    <row r="30" spans="1:16" s="304" customFormat="1" ht="21" x14ac:dyDescent="0.25">
      <c r="A30" s="297" t="s">
        <v>31</v>
      </c>
      <c r="B30" s="297"/>
      <c r="C30" s="297" t="s">
        <v>21</v>
      </c>
      <c r="D30" s="298" t="s">
        <v>3</v>
      </c>
      <c r="E30" s="305" t="s">
        <v>22</v>
      </c>
      <c r="F30" s="297" t="s">
        <v>23</v>
      </c>
      <c r="G30" s="297" t="s">
        <v>24</v>
      </c>
      <c r="H30" s="306" t="s">
        <v>25</v>
      </c>
      <c r="I30" s="305" t="s">
        <v>26</v>
      </c>
      <c r="J30" s="305" t="s">
        <v>27</v>
      </c>
      <c r="K30" s="307" t="s">
        <v>28</v>
      </c>
      <c r="L30" s="297" t="s">
        <v>29</v>
      </c>
      <c r="M30" s="330"/>
      <c r="N30" s="303"/>
      <c r="O30" s="303"/>
    </row>
    <row r="31" spans="1:16" s="316" customFormat="1" ht="20.100000000000001" customHeight="1" x14ac:dyDescent="0.15">
      <c r="A31" s="331" t="str">
        <f t="shared" ref="A31:A38" si="1">IFERROR(IF(HLOOKUP($L$6,RangeUnitsets,M31,FALSE)=0,"",HLOOKUP($L$6,RangeUnitsets,M31,FALSE)),"")</f>
        <v/>
      </c>
      <c r="B31" s="332" t="str">
        <f>IFERROR(IF(VLOOKUP($A31,TableHandbook[],2,FALSE)=0,"",VLOOKUP($A31,TableHandbook[],2,FALSE)),"")</f>
        <v/>
      </c>
      <c r="C31" s="332" t="str">
        <f>IFERROR(IF(VLOOKUP($A31,TableHandbook[],3,FALSE)=0,"",VLOOKUP($A31,TableHandbook[],3,FALSE)),"")</f>
        <v/>
      </c>
      <c r="D31" s="333" t="str">
        <f>IFERROR(IF(VLOOKUP($A31,TableHandbook[],4,FALSE)=0,"",VLOOKUP($A31,TableHandbook[],4,FALSE)),"")</f>
        <v/>
      </c>
      <c r="E31" s="332"/>
      <c r="F31" s="334" t="str">
        <f>IFERROR(IF(VLOOKUP($A31,TableHandbook[],6,FALSE)=0,"",VLOOKUP($A31,TableHandbook[],6,FALSE)),"")</f>
        <v/>
      </c>
      <c r="G31" s="335" t="str">
        <f>IFERROR(IF(VLOOKUP($A31,TableHandbook[],5,FALSE)=0,"",VLOOKUP($A31,TableHandbook[],5,FALSE)),"")</f>
        <v/>
      </c>
      <c r="H31" s="336"/>
      <c r="I31" s="335"/>
      <c r="J31" s="335"/>
      <c r="K31" s="337"/>
      <c r="L31" s="269"/>
      <c r="M31" s="314">
        <v>18</v>
      </c>
      <c r="N31" s="315"/>
      <c r="O31" s="315"/>
    </row>
    <row r="32" spans="1:16" s="316" customFormat="1" ht="20.100000000000001" customHeight="1" x14ac:dyDescent="0.15">
      <c r="A32" s="331" t="str">
        <f t="shared" si="1"/>
        <v/>
      </c>
      <c r="B32" s="332" t="str">
        <f>IFERROR(IF(VLOOKUP($A32,TableHandbook[],2,FALSE)=0,"",VLOOKUP($A32,TableHandbook[],2,FALSE)),"")</f>
        <v/>
      </c>
      <c r="C32" s="332" t="str">
        <f>IFERROR(IF(VLOOKUP($A32,TableHandbook[],3,FALSE)=0,"",VLOOKUP($A32,TableHandbook[],3,FALSE)),"")</f>
        <v/>
      </c>
      <c r="D32" s="340" t="str">
        <f>IFERROR(IF(VLOOKUP($A32,TableHandbook[],4,FALSE)=0,"",VLOOKUP($A32,TableHandbook[],4,FALSE)),"")</f>
        <v/>
      </c>
      <c r="E32" s="332"/>
      <c r="F32" s="334" t="str">
        <f>IFERROR(IF(VLOOKUP($A32,TableHandbook[],6,FALSE)=0,"",VLOOKUP($A32,TableHandbook[],6,FALSE)),"")</f>
        <v/>
      </c>
      <c r="G32" s="335" t="str">
        <f>IFERROR(IF(VLOOKUP($A32,TableHandbook[],5,FALSE)=0,"",VLOOKUP($A32,TableHandbook[],5,FALSE)),"")</f>
        <v/>
      </c>
      <c r="H32" s="336"/>
      <c r="I32" s="335"/>
      <c r="J32" s="335"/>
      <c r="K32" s="337"/>
      <c r="L32" s="269"/>
      <c r="M32" s="314">
        <v>19</v>
      </c>
      <c r="N32" s="315"/>
      <c r="O32" s="315"/>
    </row>
    <row r="33" spans="1:15" s="316" customFormat="1" ht="20.100000000000001" customHeight="1" x14ac:dyDescent="0.15">
      <c r="A33" s="331" t="str">
        <f t="shared" si="1"/>
        <v/>
      </c>
      <c r="B33" s="332" t="str">
        <f>IFERROR(IF(VLOOKUP($A33,TableHandbook[],2,FALSE)=0,"",VLOOKUP($A33,TableHandbook[],2,FALSE)),"")</f>
        <v/>
      </c>
      <c r="C33" s="332" t="str">
        <f>IFERROR(IF(VLOOKUP($A33,TableHandbook[],3,FALSE)=0,"",VLOOKUP($A33,TableHandbook[],3,FALSE)),"")</f>
        <v/>
      </c>
      <c r="D33" s="340" t="str">
        <f>IFERROR(IF(VLOOKUP($A33,TableHandbook[],4,FALSE)=0,"",VLOOKUP($A33,TableHandbook[],4,FALSE)),"")</f>
        <v/>
      </c>
      <c r="E33" s="332"/>
      <c r="F33" s="334" t="str">
        <f>IFERROR(IF(VLOOKUP($A33,TableHandbook[],6,FALSE)=0,"",VLOOKUP($A33,TableHandbook[],6,FALSE)),"")</f>
        <v/>
      </c>
      <c r="G33" s="335" t="str">
        <f>IFERROR(IF(VLOOKUP($A33,TableHandbook[],5,FALSE)=0,"",VLOOKUP($A33,TableHandbook[],5,FALSE)),"")</f>
        <v/>
      </c>
      <c r="H33" s="336"/>
      <c r="I33" s="335"/>
      <c r="J33" s="335"/>
      <c r="K33" s="337"/>
      <c r="L33" s="269"/>
      <c r="M33" s="314">
        <v>20</v>
      </c>
      <c r="N33" s="315"/>
      <c r="O33" s="315"/>
    </row>
    <row r="34" spans="1:15" s="316" customFormat="1" ht="20.100000000000001" customHeight="1" x14ac:dyDescent="0.15">
      <c r="A34" s="331" t="str">
        <f t="shared" si="1"/>
        <v/>
      </c>
      <c r="B34" s="332" t="str">
        <f>IFERROR(IF(VLOOKUP($A34,TableHandbook[],2,FALSE)=0,"",VLOOKUP($A34,TableHandbook[],2,FALSE)),"")</f>
        <v/>
      </c>
      <c r="C34" s="332" t="str">
        <f>IFERROR(IF(VLOOKUP($A34,TableHandbook[],3,FALSE)=0,"",VLOOKUP($A34,TableHandbook[],3,FALSE)),"")</f>
        <v/>
      </c>
      <c r="D34" s="340" t="str">
        <f>IFERROR(IF(VLOOKUP($A34,TableHandbook[],4,FALSE)=0,"",VLOOKUP($A34,TableHandbook[],4,FALSE)),"")</f>
        <v/>
      </c>
      <c r="E34" s="332"/>
      <c r="F34" s="334" t="str">
        <f>IFERROR(IF(VLOOKUP($A34,TableHandbook[],6,FALSE)=0,"",VLOOKUP($A34,TableHandbook[],6,FALSE)),"")</f>
        <v/>
      </c>
      <c r="G34" s="335" t="str">
        <f>IFERROR(IF(VLOOKUP($A34,TableHandbook[],5,FALSE)=0,"",VLOOKUP($A34,TableHandbook[],5,FALSE)),"")</f>
        <v/>
      </c>
      <c r="H34" s="336"/>
      <c r="I34" s="335"/>
      <c r="J34" s="335"/>
      <c r="K34" s="337"/>
      <c r="L34" s="269"/>
      <c r="M34" s="314">
        <v>21</v>
      </c>
      <c r="N34" s="315"/>
      <c r="O34" s="315"/>
    </row>
    <row r="35" spans="1:15" s="316" customFormat="1" ht="20.100000000000001" customHeight="1" x14ac:dyDescent="0.15">
      <c r="A35" s="331" t="str">
        <f t="shared" si="1"/>
        <v/>
      </c>
      <c r="B35" s="332" t="str">
        <f>IFERROR(IF(VLOOKUP($A35,TableHandbook[],2,FALSE)=0,"",VLOOKUP($A35,TableHandbook[],2,FALSE)),"")</f>
        <v/>
      </c>
      <c r="C35" s="332" t="str">
        <f>IFERROR(IF(VLOOKUP($A35,TableHandbook[],3,FALSE)=0,"",VLOOKUP($A35,TableHandbook[],3,FALSE)),"")</f>
        <v/>
      </c>
      <c r="D35" s="340" t="str">
        <f>IFERROR(IF(VLOOKUP($A35,TableHandbook[],4,FALSE)=0,"",VLOOKUP($A35,TableHandbook[],4,FALSE)),"")</f>
        <v/>
      </c>
      <c r="E35" s="332"/>
      <c r="F35" s="334" t="str">
        <f>IFERROR(IF(VLOOKUP($A35,TableHandbook[],6,FALSE)=0,"",VLOOKUP($A35,TableHandbook[],6,FALSE)),"")</f>
        <v/>
      </c>
      <c r="G35" s="335" t="str">
        <f>IFERROR(IF(VLOOKUP($A35,TableHandbook[],5,FALSE)=0,"",VLOOKUP($A35,TableHandbook[],5,FALSE)),"")</f>
        <v/>
      </c>
      <c r="H35" s="336"/>
      <c r="I35" s="335"/>
      <c r="J35" s="335"/>
      <c r="K35" s="337"/>
      <c r="L35" s="269"/>
      <c r="M35" s="314">
        <v>22</v>
      </c>
      <c r="N35" s="315"/>
      <c r="O35" s="315"/>
    </row>
    <row r="36" spans="1:15" s="316" customFormat="1" ht="20.100000000000001" customHeight="1" x14ac:dyDescent="0.15">
      <c r="A36" s="331" t="str">
        <f t="shared" si="1"/>
        <v/>
      </c>
      <c r="B36" s="332" t="str">
        <f>IFERROR(IF(VLOOKUP($A36,TableHandbook[],2,FALSE)=0,"",VLOOKUP($A36,TableHandbook[],2,FALSE)),"")</f>
        <v/>
      </c>
      <c r="C36" s="332" t="str">
        <f>IFERROR(IF(VLOOKUP($A36,TableHandbook[],3,FALSE)=0,"",VLOOKUP($A36,TableHandbook[],3,FALSE)),"")</f>
        <v/>
      </c>
      <c r="D36" s="340" t="str">
        <f>IFERROR(IF(VLOOKUP($A36,TableHandbook[],4,FALSE)=0,"",VLOOKUP($A36,TableHandbook[],4,FALSE)),"")</f>
        <v/>
      </c>
      <c r="E36" s="332"/>
      <c r="F36" s="334" t="str">
        <f>IFERROR(IF(VLOOKUP($A36,TableHandbook[],6,FALSE)=0,"",VLOOKUP($A36,TableHandbook[],6,FALSE)),"")</f>
        <v/>
      </c>
      <c r="G36" s="335" t="str">
        <f>IFERROR(IF(VLOOKUP($A36,TableHandbook[],5,FALSE)=0,"",VLOOKUP($A36,TableHandbook[],5,FALSE)),"")</f>
        <v/>
      </c>
      <c r="H36" s="336"/>
      <c r="I36" s="335"/>
      <c r="J36" s="335"/>
      <c r="K36" s="337"/>
      <c r="L36" s="269"/>
      <c r="M36" s="314">
        <v>23</v>
      </c>
      <c r="N36" s="315"/>
      <c r="O36" s="315"/>
    </row>
    <row r="37" spans="1:15" s="327" customFormat="1" ht="20.100000000000001" customHeight="1" x14ac:dyDescent="0.15">
      <c r="A37" s="331" t="str">
        <f t="shared" si="1"/>
        <v/>
      </c>
      <c r="B37" s="332" t="str">
        <f>IFERROR(IF(VLOOKUP($A37,TableHandbook[],2,FALSE)=0,"",VLOOKUP($A37,TableHandbook[],2,FALSE)),"")</f>
        <v/>
      </c>
      <c r="C37" s="332" t="str">
        <f>IFERROR(IF(VLOOKUP($A37,TableHandbook[],3,FALSE)=0,"",VLOOKUP($A37,TableHandbook[],3,FALSE)),"")</f>
        <v/>
      </c>
      <c r="D37" s="340" t="str">
        <f>IFERROR(IF(VLOOKUP($A37,TableHandbook[],4,FALSE)=0,"",VLOOKUP($A37,TableHandbook[],4,FALSE)),"")</f>
        <v/>
      </c>
      <c r="E37" s="332"/>
      <c r="F37" s="334" t="str">
        <f>IFERROR(IF(VLOOKUP($A37,TableHandbook[],6,FALSE)=0,"",VLOOKUP($A37,TableHandbook[],6,FALSE)),"")</f>
        <v/>
      </c>
      <c r="G37" s="335" t="str">
        <f>IFERROR(IF(VLOOKUP($A37,TableHandbook[],5,FALSE)=0,"",VLOOKUP($A37,TableHandbook[],5,FALSE)),"")</f>
        <v/>
      </c>
      <c r="H37" s="336"/>
      <c r="I37" s="335"/>
      <c r="J37" s="335"/>
      <c r="K37" s="337"/>
      <c r="L37" s="269"/>
      <c r="M37" s="314">
        <v>24</v>
      </c>
      <c r="N37" s="326"/>
      <c r="O37" s="326"/>
    </row>
    <row r="38" spans="1:15" s="327" customFormat="1" ht="20.100000000000001" customHeight="1" x14ac:dyDescent="0.15">
      <c r="A38" s="331" t="str">
        <f t="shared" si="1"/>
        <v/>
      </c>
      <c r="B38" s="332" t="str">
        <f>IFERROR(IF(VLOOKUP($A38,TableHandbook[],2,FALSE)=0,"",VLOOKUP($A38,TableHandbook[],2,FALSE)),"")</f>
        <v/>
      </c>
      <c r="C38" s="332" t="str">
        <f>IFERROR(IF(VLOOKUP($A38,TableHandbook[],3,FALSE)=0,"",VLOOKUP($A38,TableHandbook[],3,FALSE)),"")</f>
        <v/>
      </c>
      <c r="D38" s="340" t="str">
        <f>IFERROR(IF(VLOOKUP($A38,TableHandbook[],4,FALSE)=0,"",VLOOKUP($A38,TableHandbook[],4,FALSE)),"")</f>
        <v/>
      </c>
      <c r="E38" s="335"/>
      <c r="F38" s="334" t="str">
        <f>IFERROR(IF(VLOOKUP($A38,TableHandbook[],6,FALSE)=0,"",VLOOKUP($A38,TableHandbook[],6,FALSE)),"")</f>
        <v/>
      </c>
      <c r="G38" s="335" t="str">
        <f>IFERROR(IF(VLOOKUP($A38,TableHandbook[],5,FALSE)=0,"",VLOOKUP($A38,TableHandbook[],5,FALSE)),"")</f>
        <v/>
      </c>
      <c r="H38" s="336"/>
      <c r="I38" s="335"/>
      <c r="J38" s="335"/>
      <c r="K38" s="337"/>
      <c r="L38" s="338"/>
      <c r="M38" s="314">
        <v>25</v>
      </c>
      <c r="N38" s="326"/>
      <c r="O38" s="326"/>
    </row>
    <row r="39" spans="1:15" s="347" customFormat="1" ht="13.9" customHeight="1" x14ac:dyDescent="0.2">
      <c r="A39" s="341"/>
      <c r="B39" s="341"/>
      <c r="C39" s="341"/>
      <c r="D39" s="342"/>
      <c r="E39" s="343"/>
      <c r="F39" s="344"/>
      <c r="G39" s="344"/>
      <c r="H39" s="344"/>
      <c r="I39" s="344"/>
      <c r="J39" s="344"/>
      <c r="K39" s="344"/>
      <c r="L39" s="344"/>
      <c r="M39" s="345"/>
      <c r="N39" s="346"/>
      <c r="O39" s="346"/>
    </row>
    <row r="40" spans="1:15" ht="17.25" x14ac:dyDescent="0.25">
      <c r="A40" s="348" t="str">
        <f>D6</f>
        <v>Choose your Specialisation (drop-down list)</v>
      </c>
      <c r="B40" s="349"/>
      <c r="C40" s="349"/>
      <c r="D40" s="350"/>
      <c r="E40" s="351"/>
      <c r="F40" s="352"/>
      <c r="G40" s="352"/>
      <c r="H40" s="353" t="s">
        <v>19</v>
      </c>
      <c r="I40" s="354"/>
      <c r="J40" s="355"/>
      <c r="K40" s="356"/>
      <c r="L40" s="357" t="e">
        <f>VLOOKUP(D6,TableSpecialisations[],2,FALSE)</f>
        <v>#N/A</v>
      </c>
      <c r="M40" s="358"/>
    </row>
    <row r="41" spans="1:15" s="365" customFormat="1" x14ac:dyDescent="0.25">
      <c r="A41" s="359"/>
      <c r="B41" s="360"/>
      <c r="C41" s="297" t="s">
        <v>21</v>
      </c>
      <c r="D41" s="298" t="s">
        <v>3</v>
      </c>
      <c r="E41" s="361"/>
      <c r="F41" s="361" t="s">
        <v>33</v>
      </c>
      <c r="G41" s="361" t="s">
        <v>24</v>
      </c>
      <c r="H41" s="362" t="s">
        <v>25</v>
      </c>
      <c r="I41" s="363" t="s">
        <v>26</v>
      </c>
      <c r="J41" s="363" t="s">
        <v>27</v>
      </c>
      <c r="K41" s="364" t="s">
        <v>28</v>
      </c>
      <c r="L41" s="297" t="s">
        <v>29</v>
      </c>
      <c r="M41" s="358"/>
    </row>
    <row r="42" spans="1:15" x14ac:dyDescent="0.25">
      <c r="A42" s="366" t="str">
        <f t="shared" ref="A42:A50" si="2">IFERROR(IF(HLOOKUP($L$40,RangeSpecSets,M42,FALSE)=0,"",HLOOKUP($L$40,RangeSpecSets,M42,FALSE)),"")</f>
        <v/>
      </c>
      <c r="B42" s="367" t="str">
        <f>IFERROR(IF(VLOOKUP($A42,TableHandbook[],2,FALSE)=0,"",VLOOKUP($A42,TableHandbook[],2,FALSE)),"")</f>
        <v/>
      </c>
      <c r="C42" s="367" t="str">
        <f>IFERROR(IF(VLOOKUP($A42,TableHandbook[],3,FALSE)=0,"",VLOOKUP($A42,TableHandbook[],3,FALSE)),"")</f>
        <v/>
      </c>
      <c r="D42" s="368" t="str">
        <f>IFERROR(IF(VLOOKUP($A42,TableHandbook[],4,FALSE)=0,"",VLOOKUP($A42,TableHandbook[],4,FALSE)),"")</f>
        <v/>
      </c>
      <c r="E42" s="369"/>
      <c r="F42" s="311" t="str">
        <f>IFERROR(IF(VLOOKUP($A42,TableHandbook[],6,FALSE)=0,"",VLOOKUP($A42,TableHandbook[],6,FALSE)),"")</f>
        <v/>
      </c>
      <c r="G42" s="369" t="str">
        <f>IFERROR(IF(VLOOKUP($A42,TableHandbook[],5,FALSE)=0,"",VLOOKUP($A42,TableHandbook[],5,FALSE)),"")</f>
        <v/>
      </c>
      <c r="H42" s="370" t="str">
        <f>IFERROR(VLOOKUP(A42,TableHandbook[],7,FALSE),"")</f>
        <v/>
      </c>
      <c r="I42" s="371" t="str">
        <f>IFERROR(VLOOKUP(A42,TableHandbook[],8,FALSE),"")</f>
        <v/>
      </c>
      <c r="J42" s="371" t="str">
        <f>IFERROR(VLOOKUP(A42,TableHandbook[],9,FALSE),"")</f>
        <v/>
      </c>
      <c r="K42" s="372" t="str">
        <f>IFERROR(VLOOKUP(A42,TableHandbook[],10,FALSE),"")</f>
        <v/>
      </c>
      <c r="L42" s="268"/>
      <c r="M42" s="314">
        <v>2</v>
      </c>
    </row>
    <row r="43" spans="1:15" x14ac:dyDescent="0.25">
      <c r="A43" s="366" t="str">
        <f t="shared" si="2"/>
        <v/>
      </c>
      <c r="B43" s="367" t="str">
        <f>IFERROR(IF(VLOOKUP($A43,TableHandbook[],2,FALSE)=0,"",VLOOKUP($A43,TableHandbook[],2,FALSE)),"")</f>
        <v/>
      </c>
      <c r="C43" s="367" t="str">
        <f>IFERROR(IF(VLOOKUP($A43,TableHandbook[],3,FALSE)=0,"",VLOOKUP($A43,TableHandbook[],3,FALSE)),"")</f>
        <v/>
      </c>
      <c r="D43" s="368" t="str">
        <f>IFERROR(IF(VLOOKUP($A43,TableHandbook[],4,FALSE)=0,"",VLOOKUP($A43,TableHandbook[],4,FALSE)),"")</f>
        <v/>
      </c>
      <c r="E43" s="369"/>
      <c r="F43" s="311" t="str">
        <f>IFERROR(IF(VLOOKUP($A43,TableHandbook[],6,FALSE)=0,"",VLOOKUP($A43,TableHandbook[],6,FALSE)),"")</f>
        <v/>
      </c>
      <c r="G43" s="369" t="str">
        <f>IFERROR(IF(VLOOKUP($A43,TableHandbook[],5,FALSE)=0,"",VLOOKUP($A43,TableHandbook[],5,FALSE)),"")</f>
        <v/>
      </c>
      <c r="H43" s="370" t="str">
        <f>IFERROR(VLOOKUP(A43,TableHandbook[],7,FALSE),"")</f>
        <v/>
      </c>
      <c r="I43" s="371" t="str">
        <f>IFERROR(VLOOKUP(A43,TableHandbook[],8,FALSE),"")</f>
        <v/>
      </c>
      <c r="J43" s="371" t="str">
        <f>IFERROR(VLOOKUP(A43,TableHandbook[],9,FALSE),"")</f>
        <v/>
      </c>
      <c r="K43" s="372" t="str">
        <f>IFERROR(VLOOKUP(A43,TableHandbook[],10,FALSE),"")</f>
        <v/>
      </c>
      <c r="L43" s="268"/>
      <c r="M43" s="314">
        <v>3</v>
      </c>
    </row>
    <row r="44" spans="1:15" x14ac:dyDescent="0.25">
      <c r="A44" s="366" t="str">
        <f t="shared" si="2"/>
        <v/>
      </c>
      <c r="B44" s="367" t="str">
        <f>IFERROR(IF(VLOOKUP($A44,TableHandbook[],2,FALSE)=0,"",VLOOKUP($A44,TableHandbook[],2,FALSE)),"")</f>
        <v/>
      </c>
      <c r="C44" s="367" t="str">
        <f>IFERROR(IF(VLOOKUP($A44,TableHandbook[],3,FALSE)=0,"",VLOOKUP($A44,TableHandbook[],3,FALSE)),"")</f>
        <v/>
      </c>
      <c r="D44" s="368" t="str">
        <f>IFERROR(IF(VLOOKUP($A44,TableHandbook[],4,FALSE)=0,"",VLOOKUP($A44,TableHandbook[],4,FALSE)),"")</f>
        <v/>
      </c>
      <c r="E44" s="369"/>
      <c r="F44" s="311" t="str">
        <f>IFERROR(IF(VLOOKUP($A44,TableHandbook[],6,FALSE)=0,"",VLOOKUP($A44,TableHandbook[],6,FALSE)),"")</f>
        <v/>
      </c>
      <c r="G44" s="369" t="str">
        <f>IFERROR(IF(VLOOKUP($A44,TableHandbook[],5,FALSE)=0,"",VLOOKUP($A44,TableHandbook[],5,FALSE)),"")</f>
        <v/>
      </c>
      <c r="H44" s="370" t="str">
        <f>IFERROR(VLOOKUP(A44,TableHandbook[],7,FALSE),"")</f>
        <v/>
      </c>
      <c r="I44" s="371" t="str">
        <f>IFERROR(VLOOKUP(A44,TableHandbook[],8,FALSE),"")</f>
        <v/>
      </c>
      <c r="J44" s="371" t="str">
        <f>IFERROR(VLOOKUP(A44,TableHandbook[],9,FALSE),"")</f>
        <v/>
      </c>
      <c r="K44" s="372" t="str">
        <f>IFERROR(VLOOKUP(A44,TableHandbook[],10,FALSE),"")</f>
        <v/>
      </c>
      <c r="L44" s="268"/>
      <c r="M44" s="314">
        <v>4</v>
      </c>
    </row>
    <row r="45" spans="1:15" x14ac:dyDescent="0.25">
      <c r="A45" s="366" t="str">
        <f t="shared" si="2"/>
        <v/>
      </c>
      <c r="B45" s="367" t="str">
        <f>IFERROR(IF(VLOOKUP($A45,TableHandbook[],2,FALSE)=0,"",VLOOKUP($A45,TableHandbook[],2,FALSE)),"")</f>
        <v/>
      </c>
      <c r="C45" s="367" t="str">
        <f>IFERROR(IF(VLOOKUP($A45,TableHandbook[],3,FALSE)=0,"",VLOOKUP($A45,TableHandbook[],3,FALSE)),"")</f>
        <v/>
      </c>
      <c r="D45" s="368" t="str">
        <f>IFERROR(IF(VLOOKUP($A45,TableHandbook[],4,FALSE)=0,"",VLOOKUP($A45,TableHandbook[],4,FALSE)),"")</f>
        <v/>
      </c>
      <c r="E45" s="369"/>
      <c r="F45" s="311" t="str">
        <f>IFERROR(IF(VLOOKUP($A45,TableHandbook[],6,FALSE)=0,"",VLOOKUP($A45,TableHandbook[],6,FALSE)),"")</f>
        <v/>
      </c>
      <c r="G45" s="369" t="str">
        <f>IFERROR(IF(VLOOKUP($A45,TableHandbook[],5,FALSE)=0,"",VLOOKUP($A45,TableHandbook[],5,FALSE)),"")</f>
        <v/>
      </c>
      <c r="H45" s="370" t="str">
        <f>IFERROR(VLOOKUP(A45,TableHandbook[],7,FALSE),"")</f>
        <v/>
      </c>
      <c r="I45" s="371" t="str">
        <f>IFERROR(VLOOKUP(A45,TableHandbook[],8,FALSE),"")</f>
        <v/>
      </c>
      <c r="J45" s="371" t="str">
        <f>IFERROR(VLOOKUP(A45,TableHandbook[],9,FALSE),"")</f>
        <v/>
      </c>
      <c r="K45" s="372" t="str">
        <f>IFERROR(VLOOKUP(A45,TableHandbook[],10,FALSE),"")</f>
        <v/>
      </c>
      <c r="L45" s="268"/>
      <c r="M45" s="314">
        <v>5</v>
      </c>
    </row>
    <row r="46" spans="1:15" x14ac:dyDescent="0.25">
      <c r="A46" s="366" t="str">
        <f t="shared" si="2"/>
        <v/>
      </c>
      <c r="B46" s="367" t="str">
        <f>IFERROR(IF(VLOOKUP($A46,TableHandbook[],2,FALSE)=0,"",VLOOKUP($A46,TableHandbook[],2,FALSE)),"")</f>
        <v/>
      </c>
      <c r="C46" s="367" t="str">
        <f>IFERROR(IF(VLOOKUP($A46,TableHandbook[],3,FALSE)=0,"",VLOOKUP($A46,TableHandbook[],3,FALSE)),"")</f>
        <v/>
      </c>
      <c r="D46" s="368" t="str">
        <f>IFERROR(IF(VLOOKUP($A46,TableHandbook[],4,FALSE)=0,"",VLOOKUP($A46,TableHandbook[],4,FALSE)),"")</f>
        <v/>
      </c>
      <c r="E46" s="369"/>
      <c r="F46" s="311" t="str">
        <f>IFERROR(IF(VLOOKUP($A46,TableHandbook[],6,FALSE)=0,"",VLOOKUP($A46,TableHandbook[],6,FALSE)),"")</f>
        <v/>
      </c>
      <c r="G46" s="369" t="str">
        <f>IFERROR(IF(VLOOKUP($A46,TableHandbook[],5,FALSE)=0,"",VLOOKUP($A46,TableHandbook[],5,FALSE)),"")</f>
        <v/>
      </c>
      <c r="H46" s="370" t="str">
        <f>IFERROR(VLOOKUP(A46,TableHandbook[],7,FALSE),"")</f>
        <v/>
      </c>
      <c r="I46" s="371" t="str">
        <f>IFERROR(VLOOKUP(A46,TableHandbook[],8,FALSE),"")</f>
        <v/>
      </c>
      <c r="J46" s="371" t="str">
        <f>IFERROR(VLOOKUP(A46,TableHandbook[],9,FALSE),"")</f>
        <v/>
      </c>
      <c r="K46" s="372" t="str">
        <f>IFERROR(VLOOKUP(A46,TableHandbook[],10,FALSE),"")</f>
        <v/>
      </c>
      <c r="L46" s="268"/>
      <c r="M46" s="314">
        <v>6</v>
      </c>
    </row>
    <row r="47" spans="1:15" x14ac:dyDescent="0.25">
      <c r="A47" s="366" t="str">
        <f t="shared" si="2"/>
        <v/>
      </c>
      <c r="B47" s="367" t="str">
        <f>IFERROR(IF(VLOOKUP($A47,TableHandbook[],2,FALSE)=0,"",VLOOKUP($A47,TableHandbook[],2,FALSE)),"")</f>
        <v/>
      </c>
      <c r="C47" s="367" t="str">
        <f>IFERROR(IF(VLOOKUP($A47,TableHandbook[],3,FALSE)=0,"",VLOOKUP($A47,TableHandbook[],3,FALSE)),"")</f>
        <v/>
      </c>
      <c r="D47" s="368" t="str">
        <f>IFERROR(IF(VLOOKUP($A47,TableHandbook[],4,FALSE)=0,"",VLOOKUP($A47,TableHandbook[],4,FALSE)),"")</f>
        <v/>
      </c>
      <c r="E47" s="369"/>
      <c r="F47" s="311" t="str">
        <f>IFERROR(IF(VLOOKUP($A47,TableHandbook[],6,FALSE)=0,"",VLOOKUP($A47,TableHandbook[],6,FALSE)),"")</f>
        <v/>
      </c>
      <c r="G47" s="369" t="str">
        <f>IFERROR(IF(VLOOKUP($A47,TableHandbook[],5,FALSE)=0,"",VLOOKUP($A47,TableHandbook[],5,FALSE)),"")</f>
        <v/>
      </c>
      <c r="H47" s="370" t="str">
        <f>IFERROR(VLOOKUP(A47,TableHandbook[],7,FALSE),"")</f>
        <v/>
      </c>
      <c r="I47" s="371" t="str">
        <f>IFERROR(VLOOKUP(A47,TableHandbook[],8,FALSE),"")</f>
        <v/>
      </c>
      <c r="J47" s="371" t="str">
        <f>IFERROR(VLOOKUP(A47,TableHandbook[],9,FALSE),"")</f>
        <v/>
      </c>
      <c r="K47" s="372" t="str">
        <f>IFERROR(VLOOKUP(A47,TableHandbook[],10,FALSE),"")</f>
        <v/>
      </c>
      <c r="L47" s="268"/>
      <c r="M47" s="314">
        <v>7</v>
      </c>
    </row>
    <row r="48" spans="1:15" x14ac:dyDescent="0.25">
      <c r="A48" s="366" t="str">
        <f t="shared" si="2"/>
        <v/>
      </c>
      <c r="B48" s="367" t="str">
        <f>IFERROR(IF(VLOOKUP($A48,TableHandbook[],2,FALSE)=0,"",VLOOKUP($A48,TableHandbook[],2,FALSE)),"")</f>
        <v/>
      </c>
      <c r="C48" s="367" t="str">
        <f>IFERROR(IF(VLOOKUP($A48,TableHandbook[],3,FALSE)=0,"",VLOOKUP($A48,TableHandbook[],3,FALSE)),"")</f>
        <v/>
      </c>
      <c r="D48" s="368" t="str">
        <f>IFERROR(IF(VLOOKUP($A48,TableHandbook[],4,FALSE)=0,"",VLOOKUP($A48,TableHandbook[],4,FALSE)),"")</f>
        <v/>
      </c>
      <c r="E48" s="369"/>
      <c r="F48" s="311" t="str">
        <f>IFERROR(IF(VLOOKUP($A48,TableHandbook[],6,FALSE)=0,"",VLOOKUP($A48,TableHandbook[],6,FALSE)),"")</f>
        <v/>
      </c>
      <c r="G48" s="369" t="str">
        <f>IFERROR(IF(VLOOKUP($A48,TableHandbook[],5,FALSE)=0,"",VLOOKUP($A48,TableHandbook[],5,FALSE)),"")</f>
        <v/>
      </c>
      <c r="H48" s="370" t="str">
        <f>IFERROR(VLOOKUP(A48,TableHandbook[],7,FALSE),"")</f>
        <v/>
      </c>
      <c r="I48" s="371" t="str">
        <f>IFERROR(VLOOKUP(A48,TableHandbook[],8,FALSE),"")</f>
        <v/>
      </c>
      <c r="J48" s="371" t="str">
        <f>IFERROR(VLOOKUP(A48,TableHandbook[],9,FALSE),"")</f>
        <v/>
      </c>
      <c r="K48" s="372" t="str">
        <f>IFERROR(VLOOKUP(A48,TableHandbook[],10,FALSE),"")</f>
        <v/>
      </c>
      <c r="L48" s="268"/>
      <c r="M48" s="314">
        <v>8</v>
      </c>
    </row>
    <row r="49" spans="1:15" x14ac:dyDescent="0.25">
      <c r="A49" s="366" t="str">
        <f t="shared" si="2"/>
        <v/>
      </c>
      <c r="B49" s="367" t="str">
        <f>IFERROR(IF(VLOOKUP($A49,TableHandbook[],2,FALSE)=0,"",VLOOKUP($A49,TableHandbook[],2,FALSE)),"")</f>
        <v/>
      </c>
      <c r="C49" s="367" t="str">
        <f>IFERROR(IF(VLOOKUP($A49,TableHandbook[],3,FALSE)=0,"",VLOOKUP($A49,TableHandbook[],3,FALSE)),"")</f>
        <v/>
      </c>
      <c r="D49" s="368" t="str">
        <f>IFERROR(IF(VLOOKUP($A49,TableHandbook[],4,FALSE)=0,"",VLOOKUP($A49,TableHandbook[],4,FALSE)),"")</f>
        <v/>
      </c>
      <c r="E49" s="369"/>
      <c r="F49" s="311" t="str">
        <f>IFERROR(IF(VLOOKUP($A49,TableHandbook[],6,FALSE)=0,"",VLOOKUP($A49,TableHandbook[],6,FALSE)),"")</f>
        <v/>
      </c>
      <c r="G49" s="369" t="str">
        <f>IFERROR(IF(VLOOKUP($A49,TableHandbook[],5,FALSE)=0,"",VLOOKUP($A49,TableHandbook[],5,FALSE)),"")</f>
        <v/>
      </c>
      <c r="H49" s="370" t="str">
        <f>IFERROR(VLOOKUP(A49,TableHandbook[],7,FALSE),"")</f>
        <v/>
      </c>
      <c r="I49" s="371" t="str">
        <f>IFERROR(VLOOKUP(A49,TableHandbook[],8,FALSE),"")</f>
        <v/>
      </c>
      <c r="J49" s="371" t="str">
        <f>IFERROR(VLOOKUP(A49,TableHandbook[],9,FALSE),"")</f>
        <v/>
      </c>
      <c r="K49" s="372" t="str">
        <f>IFERROR(VLOOKUP(A49,TableHandbook[],10,FALSE),"")</f>
        <v/>
      </c>
      <c r="L49" s="268"/>
      <c r="M49" s="314">
        <v>9</v>
      </c>
    </row>
    <row r="50" spans="1:15" x14ac:dyDescent="0.25">
      <c r="A50" s="366" t="str">
        <f t="shared" si="2"/>
        <v/>
      </c>
      <c r="B50" s="367" t="str">
        <f>IFERROR(IF(VLOOKUP($A50,TableHandbook[],2,FALSE)=0,"",VLOOKUP($A50,TableHandbook[],2,FALSE)),"")</f>
        <v/>
      </c>
      <c r="C50" s="367" t="str">
        <f>IFERROR(IF(VLOOKUP($A50,TableHandbook[],3,FALSE)=0,"",VLOOKUP($A50,TableHandbook[],3,FALSE)),"")</f>
        <v/>
      </c>
      <c r="D50" s="368" t="str">
        <f>IFERROR(IF(VLOOKUP($A50,TableHandbook[],4,FALSE)=0,"",VLOOKUP($A50,TableHandbook[],4,FALSE)),"")</f>
        <v/>
      </c>
      <c r="E50" s="369"/>
      <c r="F50" s="311" t="str">
        <f>IFERROR(IF(VLOOKUP($A50,TableHandbook[],6,FALSE)=0,"",VLOOKUP($A50,TableHandbook[],6,FALSE)),"")</f>
        <v/>
      </c>
      <c r="G50" s="369" t="str">
        <f>IFERROR(IF(VLOOKUP($A50,TableHandbook[],5,FALSE)=0,"",VLOOKUP($A50,TableHandbook[],5,FALSE)),"")</f>
        <v/>
      </c>
      <c r="H50" s="370" t="str">
        <f>IFERROR(VLOOKUP(A50,TableHandbook[],7,FALSE),"")</f>
        <v/>
      </c>
      <c r="I50" s="371" t="str">
        <f>IFERROR(VLOOKUP(A50,TableHandbook[],8,FALSE),"")</f>
        <v/>
      </c>
      <c r="J50" s="371" t="str">
        <f>IFERROR(VLOOKUP(A50,TableHandbook[],9,FALSE),"")</f>
        <v/>
      </c>
      <c r="K50" s="372" t="str">
        <f>IFERROR(VLOOKUP(A50,TableHandbook[],10,FALSE),"")</f>
        <v/>
      </c>
      <c r="L50" s="268"/>
      <c r="M50" s="314">
        <v>10</v>
      </c>
    </row>
    <row r="51" spans="1:15" ht="19.5" customHeight="1" x14ac:dyDescent="0.25">
      <c r="A51" s="373"/>
      <c r="B51" s="373"/>
      <c r="C51" s="373"/>
      <c r="D51" s="373"/>
      <c r="E51" s="373"/>
      <c r="F51" s="373"/>
      <c r="G51" s="373"/>
      <c r="H51" s="373"/>
      <c r="I51" s="373"/>
      <c r="J51" s="373"/>
      <c r="K51" s="373"/>
      <c r="L51" s="373"/>
      <c r="M51" s="374"/>
    </row>
    <row r="52" spans="1:15" ht="32.25" customHeight="1" x14ac:dyDescent="0.25">
      <c r="A52" s="375" t="s">
        <v>34</v>
      </c>
      <c r="B52" s="375"/>
      <c r="C52" s="375"/>
      <c r="D52" s="375"/>
      <c r="E52" s="375"/>
      <c r="F52" s="375"/>
      <c r="G52" s="375"/>
      <c r="H52" s="375"/>
      <c r="I52" s="375"/>
      <c r="J52" s="375"/>
      <c r="K52" s="375"/>
      <c r="L52" s="375"/>
    </row>
    <row r="53" spans="1:15" s="377" customFormat="1" ht="24.95" customHeight="1" x14ac:dyDescent="0.3">
      <c r="A53" s="88" t="s">
        <v>35</v>
      </c>
      <c r="B53" s="88"/>
      <c r="C53" s="88"/>
      <c r="D53" s="89"/>
      <c r="E53" s="90"/>
      <c r="F53" s="89"/>
      <c r="G53" s="89"/>
      <c r="H53" s="89"/>
      <c r="I53" s="89"/>
      <c r="J53" s="89"/>
      <c r="K53" s="89"/>
      <c r="L53" s="89"/>
      <c r="M53" s="376"/>
      <c r="N53" s="376"/>
      <c r="O53" s="376"/>
    </row>
    <row r="54" spans="1:15" ht="15" customHeight="1" x14ac:dyDescent="0.25">
      <c r="A54" s="378" t="s">
        <v>36</v>
      </c>
      <c r="B54" s="378"/>
      <c r="C54" s="378"/>
      <c r="D54" s="378"/>
      <c r="E54" s="379"/>
      <c r="F54" s="344"/>
      <c r="G54" s="380"/>
      <c r="H54" s="380"/>
      <c r="I54" s="380"/>
      <c r="J54" s="380"/>
      <c r="K54" s="380"/>
      <c r="L54" s="380" t="s">
        <v>37</v>
      </c>
    </row>
  </sheetData>
  <sheetProtection algorithmName="SHA-512" hashValue="0S4AqBJ3Wkq7l0fnJMDF7y6veaZIaO44YGWtwzyOCoUXb3zhrr2LwS6gzqPi7B2X9poK4RSI7gGzGQagd5MQ4Q==" saltValue="wfkl2OzTCtQJaAsu5+TWSQ==" spinCount="100000" sheet="1" objects="1" scenarios="1" formatCells="0"/>
  <mergeCells count="2">
    <mergeCell ref="A3:D3"/>
    <mergeCell ref="A52:L52"/>
  </mergeCells>
  <conditionalFormatting sqref="D5:D7">
    <cfRule type="containsText" dxfId="171" priority="6" operator="containsText" text="Choose">
      <formula>NOT(ISERROR(SEARCH("Choose",D5)))</formula>
    </cfRule>
  </conditionalFormatting>
  <conditionalFormatting sqref="A10:L20 A21:B21 L21 A30:B30 L30 A31:L38 A22:L29">
    <cfRule type="expression" dxfId="170" priority="4">
      <formula>$A10="Spec"</formula>
    </cfRule>
  </conditionalFormatting>
  <conditionalFormatting sqref="A42:L50">
    <cfRule type="expression" dxfId="169" priority="3">
      <formula>$A42=""</formula>
    </cfRule>
    <cfRule type="expression" dxfId="168" priority="5">
      <formula>OR(LEFT($D42,5)="Study",LEFT($D42,3)="and")</formula>
    </cfRule>
  </conditionalFormatting>
  <conditionalFormatting sqref="H10:K20 H22:K29 H31:K38">
    <cfRule type="expression" dxfId="167" priority="2">
      <formula>$E10=H$9</formula>
    </cfRule>
  </conditionalFormatting>
  <conditionalFormatting sqref="L41">
    <cfRule type="expression" dxfId="0" priority="1">
      <formula>$A41="Spec"</formula>
    </cfRule>
  </conditionalFormatting>
  <dataValidations count="1">
    <dataValidation type="list" allowBlank="1" showInputMessage="1" showErrorMessage="1" sqref="L15 L12 L18"/>
  </dataValidations>
  <hyperlinks>
    <hyperlink ref="A53:L53"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62" orientation="portrait" r:id="rId2"/>
  <rowBreaks count="1" manualBreakCount="1">
    <brk id="38" max="10" man="1"/>
  </rowBreaks>
  <drawing r:id="rId3"/>
  <extLst>
    <ext xmlns:x14="http://schemas.microsoft.com/office/spreadsheetml/2009/9/main" uri="{CCE6A557-97BC-4b89-ADB6-D9C93CAAB3DF}">
      <x14:dataValidations xmlns:xm="http://schemas.microsoft.com/office/excel/2006/main" count="2">
        <x14:dataValidation type="list" showInputMessage="1" showErrorMessage="1">
          <x14:formula1>
            <xm:f>Unitsets!$A$20:$A$25</xm:f>
          </x14:formula1>
          <xm:sqref>D6</xm:sqref>
        </x14:dataValidation>
        <x14:dataValidation type="list" allowBlank="1" showInputMessage="1" showErrorMessage="1">
          <x14:formula1>
            <xm:f>Unitsets!$A$13:$A$17</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E65"/>
  <sheetViews>
    <sheetView zoomScale="85" zoomScaleNormal="85" workbookViewId="0">
      <selection activeCell="D6" sqref="D6"/>
    </sheetView>
  </sheetViews>
  <sheetFormatPr defaultRowHeight="15.75" x14ac:dyDescent="0.25"/>
  <cols>
    <col min="1" max="1" width="57.5" style="8" customWidth="1"/>
    <col min="2" max="2" width="22.75" style="5" bestFit="1" customWidth="1"/>
    <col min="3" max="3" width="9.875" style="5" bestFit="1" customWidth="1"/>
    <col min="4" max="4" width="19.375" style="5" bestFit="1" customWidth="1"/>
    <col min="5" max="5" width="14.25" style="5" bestFit="1" customWidth="1"/>
    <col min="6" max="6" width="13.625" style="5" bestFit="1" customWidth="1"/>
    <col min="7" max="7" width="16.5" style="5" bestFit="1" customWidth="1"/>
    <col min="8" max="8" width="13.25" style="5" bestFit="1" customWidth="1"/>
    <col min="9" max="9" width="5.875" bestFit="1" customWidth="1"/>
    <col min="10" max="10" width="6" bestFit="1" customWidth="1"/>
    <col min="11" max="11" width="9.75" customWidth="1"/>
    <col min="12" max="12" width="5.5" bestFit="1" customWidth="1"/>
    <col min="13" max="13" width="10.75" bestFit="1" customWidth="1"/>
    <col min="14" max="14" width="5.5" bestFit="1" customWidth="1"/>
    <col min="15" max="15" width="10.75" bestFit="1" customWidth="1"/>
    <col min="16" max="16" width="5.5" bestFit="1" customWidth="1"/>
    <col min="17" max="17" width="10.75" bestFit="1" customWidth="1"/>
    <col min="18" max="18" width="5.5" bestFit="1" customWidth="1"/>
    <col min="19" max="19" width="12.5" bestFit="1" customWidth="1"/>
    <col min="20" max="20" width="5.5" bestFit="1" customWidth="1"/>
    <col min="21" max="21" width="12.5" bestFit="1" customWidth="1"/>
    <col min="22" max="22" width="5.5" bestFit="1" customWidth="1"/>
    <col min="23" max="23" width="12.5" bestFit="1" customWidth="1"/>
    <col min="24" max="24" width="5.5" bestFit="1" customWidth="1"/>
    <col min="25" max="25" width="12.5" bestFit="1" customWidth="1"/>
    <col min="33" max="33" width="9.25" customWidth="1"/>
  </cols>
  <sheetData>
    <row r="1" spans="1:57" x14ac:dyDescent="0.25">
      <c r="A1" s="10" t="s">
        <v>11</v>
      </c>
      <c r="B1" s="11"/>
      <c r="C1" s="11"/>
      <c r="D1" s="11"/>
    </row>
    <row r="2" spans="1:57" x14ac:dyDescent="0.25">
      <c r="J2" s="44"/>
      <c r="K2" s="6"/>
      <c r="L2" s="7"/>
      <c r="M2" s="6"/>
      <c r="N2" s="6"/>
      <c r="O2" s="6"/>
      <c r="P2" s="6"/>
      <c r="Q2" s="6"/>
      <c r="R2" s="6"/>
      <c r="S2" s="6"/>
      <c r="T2" s="6"/>
      <c r="U2" s="6"/>
      <c r="V2" s="6"/>
      <c r="W2" s="6"/>
      <c r="X2" s="6"/>
      <c r="Y2" s="6"/>
      <c r="Z2" s="17"/>
      <c r="AA2" s="17"/>
      <c r="AB2" s="17"/>
    </row>
    <row r="3" spans="1:57" x14ac:dyDescent="0.25">
      <c r="H3" s="165" t="s">
        <v>41</v>
      </c>
      <c r="I3" s="1">
        <v>1</v>
      </c>
      <c r="J3" s="206"/>
      <c r="K3" s="205" t="s">
        <v>42</v>
      </c>
      <c r="L3" s="206"/>
      <c r="M3" s="207" t="s">
        <v>43</v>
      </c>
      <c r="N3" s="206"/>
      <c r="O3" s="205" t="s">
        <v>44</v>
      </c>
      <c r="P3" s="206"/>
      <c r="Q3" s="207" t="s">
        <v>45</v>
      </c>
      <c r="R3" s="46"/>
      <c r="S3" s="226" t="s">
        <v>46</v>
      </c>
      <c r="T3" s="227"/>
      <c r="U3" s="226" t="s">
        <v>47</v>
      </c>
      <c r="V3" s="227"/>
      <c r="W3" s="226" t="s">
        <v>48</v>
      </c>
      <c r="X3" s="227"/>
      <c r="Y3" s="226" t="s">
        <v>49</v>
      </c>
      <c r="Z3" s="46"/>
      <c r="AA3" s="226" t="s">
        <v>50</v>
      </c>
      <c r="AB3" s="227"/>
      <c r="AC3" s="226" t="s">
        <v>51</v>
      </c>
      <c r="AD3" s="227"/>
      <c r="AE3" s="226" t="s">
        <v>52</v>
      </c>
      <c r="AF3" s="227"/>
      <c r="AG3" s="228" t="s">
        <v>53</v>
      </c>
      <c r="AH3" s="46"/>
      <c r="AI3" s="226" t="s">
        <v>54</v>
      </c>
      <c r="AJ3" s="227"/>
      <c r="AK3" s="226" t="s">
        <v>55</v>
      </c>
      <c r="AL3" s="227"/>
      <c r="AM3" s="226" t="s">
        <v>56</v>
      </c>
      <c r="AN3" s="227"/>
      <c r="AO3" s="228" t="s">
        <v>57</v>
      </c>
      <c r="AP3" s="46"/>
      <c r="AQ3" s="226" t="s">
        <v>58</v>
      </c>
      <c r="AR3" s="227"/>
      <c r="AS3" s="226" t="s">
        <v>59</v>
      </c>
      <c r="AT3" s="227"/>
      <c r="AU3" s="226" t="s">
        <v>60</v>
      </c>
      <c r="AV3" s="227"/>
      <c r="AW3" s="228" t="s">
        <v>61</v>
      </c>
      <c r="AX3" s="46"/>
      <c r="AY3" s="226" t="s">
        <v>62</v>
      </c>
      <c r="AZ3" s="227"/>
      <c r="BA3" s="226" t="s">
        <v>63</v>
      </c>
      <c r="BB3" s="227"/>
      <c r="BC3" s="226" t="s">
        <v>64</v>
      </c>
      <c r="BD3" s="227"/>
      <c r="BE3" s="228" t="s">
        <v>65</v>
      </c>
    </row>
    <row r="4" spans="1:57" x14ac:dyDescent="0.25">
      <c r="I4" s="14">
        <v>2</v>
      </c>
      <c r="J4" s="52" t="s">
        <v>66</v>
      </c>
      <c r="K4" s="224" t="s">
        <v>67</v>
      </c>
      <c r="L4" s="202" t="s">
        <v>68</v>
      </c>
      <c r="M4" s="200"/>
      <c r="N4" s="202" t="s">
        <v>69</v>
      </c>
      <c r="O4" s="200"/>
      <c r="P4" s="202" t="s">
        <v>70</v>
      </c>
      <c r="Q4" s="200"/>
      <c r="R4" s="52" t="s">
        <v>66</v>
      </c>
      <c r="S4" s="42" t="s">
        <v>67</v>
      </c>
      <c r="T4" s="52" t="s">
        <v>68</v>
      </c>
      <c r="U4" s="224" t="s">
        <v>71</v>
      </c>
      <c r="V4" s="52" t="s">
        <v>69</v>
      </c>
      <c r="W4" s="220" t="str">
        <f>S4</f>
        <v>ARCH1020</v>
      </c>
      <c r="X4" s="52" t="s">
        <v>70</v>
      </c>
      <c r="Y4" s="220" t="str">
        <f>U4</f>
        <v>ARCH1021</v>
      </c>
      <c r="Z4" s="52" t="s">
        <v>66</v>
      </c>
      <c r="AA4" s="42" t="s">
        <v>67</v>
      </c>
      <c r="AB4" s="52" t="s">
        <v>68</v>
      </c>
      <c r="AC4" s="224" t="s">
        <v>71</v>
      </c>
      <c r="AD4" s="52" t="s">
        <v>69</v>
      </c>
      <c r="AE4" s="220" t="str">
        <f>AA4</f>
        <v>ARCH1020</v>
      </c>
      <c r="AF4" s="52" t="s">
        <v>70</v>
      </c>
      <c r="AG4" s="220" t="str">
        <f>AC4</f>
        <v>ARCH1021</v>
      </c>
      <c r="AH4" s="52" t="s">
        <v>66</v>
      </c>
      <c r="AI4" s="42" t="s">
        <v>67</v>
      </c>
      <c r="AJ4" s="52" t="s">
        <v>68</v>
      </c>
      <c r="AK4" s="224" t="s">
        <v>71</v>
      </c>
      <c r="AL4" s="52" t="s">
        <v>69</v>
      </c>
      <c r="AM4" s="220" t="str">
        <f>AI4</f>
        <v>ARCH1020</v>
      </c>
      <c r="AN4" s="52" t="s">
        <v>70</v>
      </c>
      <c r="AO4" s="220" t="str">
        <f>AK4</f>
        <v>ARCH1021</v>
      </c>
      <c r="AP4" s="52" t="s">
        <v>66</v>
      </c>
      <c r="AQ4" s="42" t="s">
        <v>67</v>
      </c>
      <c r="AR4" s="52" t="s">
        <v>68</v>
      </c>
      <c r="AS4" s="224" t="s">
        <v>71</v>
      </c>
      <c r="AT4" s="52" t="s">
        <v>69</v>
      </c>
      <c r="AU4" s="220" t="str">
        <f>AQ4</f>
        <v>ARCH1020</v>
      </c>
      <c r="AV4" s="52" t="s">
        <v>70</v>
      </c>
      <c r="AW4" s="220" t="str">
        <f>AS4</f>
        <v>ARCH1021</v>
      </c>
      <c r="AX4" s="52" t="s">
        <v>66</v>
      </c>
      <c r="AY4" s="42" t="s">
        <v>67</v>
      </c>
      <c r="AZ4" s="52" t="s">
        <v>68</v>
      </c>
      <c r="BA4" s="224" t="s">
        <v>71</v>
      </c>
      <c r="BB4" s="52" t="s">
        <v>69</v>
      </c>
      <c r="BC4" s="220" t="str">
        <f>AY4</f>
        <v>ARCH1020</v>
      </c>
      <c r="BD4" s="52" t="s">
        <v>70</v>
      </c>
      <c r="BE4" s="220" t="str">
        <f>BA4</f>
        <v>ARCH1021</v>
      </c>
    </row>
    <row r="5" spans="1:57" x14ac:dyDescent="0.25">
      <c r="A5" s="164" t="s">
        <v>72</v>
      </c>
      <c r="I5" s="14">
        <v>3</v>
      </c>
      <c r="J5" s="53" t="s">
        <v>66</v>
      </c>
      <c r="K5" s="225" t="s">
        <v>73</v>
      </c>
      <c r="L5" s="203" t="s">
        <v>68</v>
      </c>
      <c r="M5" s="201"/>
      <c r="N5" s="203" t="s">
        <v>69</v>
      </c>
      <c r="O5" s="201"/>
      <c r="P5" s="203" t="s">
        <v>70</v>
      </c>
      <c r="Q5" s="201"/>
      <c r="R5" s="53" t="s">
        <v>66</v>
      </c>
      <c r="S5" s="43" t="s">
        <v>73</v>
      </c>
      <c r="T5" s="53" t="s">
        <v>68</v>
      </c>
      <c r="U5" s="225" t="s">
        <v>74</v>
      </c>
      <c r="V5" s="53" t="s">
        <v>69</v>
      </c>
      <c r="W5" s="221" t="str">
        <f t="shared" ref="W5:Y11" si="0">S5</f>
        <v>INAR1011</v>
      </c>
      <c r="X5" s="53" t="s">
        <v>70</v>
      </c>
      <c r="Y5" s="221" t="str">
        <f t="shared" si="0"/>
        <v>COMS1007</v>
      </c>
      <c r="Z5" s="53" t="s">
        <v>66</v>
      </c>
      <c r="AA5" s="43" t="s">
        <v>73</v>
      </c>
      <c r="AB5" s="53" t="s">
        <v>68</v>
      </c>
      <c r="AC5" s="225" t="s">
        <v>74</v>
      </c>
      <c r="AD5" s="53" t="s">
        <v>69</v>
      </c>
      <c r="AE5" s="221" t="str">
        <f t="shared" ref="AE5:AE11" si="1">AA5</f>
        <v>INAR1011</v>
      </c>
      <c r="AF5" s="53" t="s">
        <v>70</v>
      </c>
      <c r="AG5" s="221" t="str">
        <f t="shared" ref="AG5:AG11" si="2">AC5</f>
        <v>COMS1007</v>
      </c>
      <c r="AH5" s="53" t="s">
        <v>66</v>
      </c>
      <c r="AI5" s="43" t="s">
        <v>73</v>
      </c>
      <c r="AJ5" s="53" t="s">
        <v>68</v>
      </c>
      <c r="AK5" s="225" t="s">
        <v>74</v>
      </c>
      <c r="AL5" s="53" t="s">
        <v>69</v>
      </c>
      <c r="AM5" s="221" t="str">
        <f t="shared" ref="AM5:AM11" si="3">AI5</f>
        <v>INAR1011</v>
      </c>
      <c r="AN5" s="53" t="s">
        <v>70</v>
      </c>
      <c r="AO5" s="221" t="str">
        <f t="shared" ref="AO5:AO11" si="4">AK5</f>
        <v>COMS1007</v>
      </c>
      <c r="AP5" s="53" t="s">
        <v>66</v>
      </c>
      <c r="AQ5" s="43" t="s">
        <v>73</v>
      </c>
      <c r="AR5" s="53" t="s">
        <v>68</v>
      </c>
      <c r="AS5" s="225" t="s">
        <v>74</v>
      </c>
      <c r="AT5" s="53" t="s">
        <v>69</v>
      </c>
      <c r="AU5" s="221" t="str">
        <f t="shared" ref="AU5:AU11" si="5">AQ5</f>
        <v>INAR1011</v>
      </c>
      <c r="AV5" s="53" t="s">
        <v>70</v>
      </c>
      <c r="AW5" s="221" t="str">
        <f t="shared" ref="AW5:AW11" si="6">AS5</f>
        <v>COMS1007</v>
      </c>
      <c r="AX5" s="53" t="s">
        <v>66</v>
      </c>
      <c r="AY5" s="43" t="s">
        <v>73</v>
      </c>
      <c r="AZ5" s="53" t="s">
        <v>68</v>
      </c>
      <c r="BA5" s="225" t="s">
        <v>74</v>
      </c>
      <c r="BB5" s="53" t="s">
        <v>69</v>
      </c>
      <c r="BC5" s="221" t="str">
        <f t="shared" ref="BC5:BC11" si="7">AY5</f>
        <v>INAR1011</v>
      </c>
      <c r="BD5" s="53" t="s">
        <v>70</v>
      </c>
      <c r="BE5" s="221" t="str">
        <f t="shared" ref="BE5:BE11" si="8">BA5</f>
        <v>COMS1007</v>
      </c>
    </row>
    <row r="6" spans="1:57" x14ac:dyDescent="0.25">
      <c r="A6" s="5" t="s">
        <v>75</v>
      </c>
      <c r="B6" s="8" t="s">
        <v>0</v>
      </c>
      <c r="C6" s="5" t="s">
        <v>76</v>
      </c>
      <c r="D6" s="5" t="s">
        <v>77</v>
      </c>
      <c r="E6" s="5" t="s">
        <v>78</v>
      </c>
      <c r="F6" s="5" t="s">
        <v>79</v>
      </c>
      <c r="G6" s="5" t="s">
        <v>6</v>
      </c>
      <c r="I6" s="14">
        <v>4</v>
      </c>
      <c r="J6" s="53" t="s">
        <v>68</v>
      </c>
      <c r="K6" s="225" t="s">
        <v>71</v>
      </c>
      <c r="L6" s="203" t="s">
        <v>69</v>
      </c>
      <c r="M6" s="201"/>
      <c r="N6" s="203" t="s">
        <v>70</v>
      </c>
      <c r="O6" s="201"/>
      <c r="P6" s="203" t="s">
        <v>66</v>
      </c>
      <c r="Q6" s="201"/>
      <c r="R6" s="53" t="s">
        <v>68</v>
      </c>
      <c r="S6" s="43" t="s">
        <v>71</v>
      </c>
      <c r="T6" s="53" t="s">
        <v>69</v>
      </c>
      <c r="U6" s="225" t="s">
        <v>67</v>
      </c>
      <c r="V6" s="53" t="s">
        <v>70</v>
      </c>
      <c r="W6" s="221" t="str">
        <f t="shared" si="0"/>
        <v>ARCH1021</v>
      </c>
      <c r="X6" s="53" t="s">
        <v>66</v>
      </c>
      <c r="Y6" s="221" t="str">
        <f t="shared" si="0"/>
        <v>ARCH1020</v>
      </c>
      <c r="Z6" s="53" t="s">
        <v>68</v>
      </c>
      <c r="AA6" s="43" t="s">
        <v>71</v>
      </c>
      <c r="AB6" s="53" t="s">
        <v>69</v>
      </c>
      <c r="AC6" s="225" t="s">
        <v>67</v>
      </c>
      <c r="AD6" s="53" t="s">
        <v>70</v>
      </c>
      <c r="AE6" s="221" t="str">
        <f t="shared" si="1"/>
        <v>ARCH1021</v>
      </c>
      <c r="AF6" s="53" t="s">
        <v>66</v>
      </c>
      <c r="AG6" s="221" t="str">
        <f t="shared" si="2"/>
        <v>ARCH1020</v>
      </c>
      <c r="AH6" s="53" t="s">
        <v>68</v>
      </c>
      <c r="AI6" s="43" t="s">
        <v>71</v>
      </c>
      <c r="AJ6" s="53" t="s">
        <v>69</v>
      </c>
      <c r="AK6" s="225" t="s">
        <v>67</v>
      </c>
      <c r="AL6" s="53" t="s">
        <v>70</v>
      </c>
      <c r="AM6" s="221" t="str">
        <f t="shared" si="3"/>
        <v>ARCH1021</v>
      </c>
      <c r="AN6" s="53" t="s">
        <v>66</v>
      </c>
      <c r="AO6" s="221" t="str">
        <f t="shared" si="4"/>
        <v>ARCH1020</v>
      </c>
      <c r="AP6" s="53" t="s">
        <v>68</v>
      </c>
      <c r="AQ6" s="43" t="s">
        <v>71</v>
      </c>
      <c r="AR6" s="53" t="s">
        <v>69</v>
      </c>
      <c r="AS6" s="225" t="s">
        <v>67</v>
      </c>
      <c r="AT6" s="53" t="s">
        <v>70</v>
      </c>
      <c r="AU6" s="221" t="str">
        <f t="shared" si="5"/>
        <v>ARCH1021</v>
      </c>
      <c r="AV6" s="53" t="s">
        <v>66</v>
      </c>
      <c r="AW6" s="221" t="str">
        <f t="shared" si="6"/>
        <v>ARCH1020</v>
      </c>
      <c r="AX6" s="53" t="s">
        <v>68</v>
      </c>
      <c r="AY6" s="43" t="s">
        <v>71</v>
      </c>
      <c r="AZ6" s="53" t="s">
        <v>69</v>
      </c>
      <c r="BA6" s="225" t="s">
        <v>67</v>
      </c>
      <c r="BB6" s="53" t="s">
        <v>70</v>
      </c>
      <c r="BC6" s="221" t="str">
        <f t="shared" si="7"/>
        <v>ARCH1021</v>
      </c>
      <c r="BD6" s="53" t="s">
        <v>66</v>
      </c>
      <c r="BE6" s="221" t="str">
        <f t="shared" si="8"/>
        <v>ARCH1020</v>
      </c>
    </row>
    <row r="7" spans="1:57" x14ac:dyDescent="0.25">
      <c r="A7" s="5" t="s">
        <v>80</v>
      </c>
      <c r="B7" s="177" t="s">
        <v>81</v>
      </c>
      <c r="C7" s="60" t="s">
        <v>82</v>
      </c>
      <c r="D7" s="60" t="s">
        <v>83</v>
      </c>
      <c r="E7" s="169">
        <v>45292</v>
      </c>
      <c r="F7" s="166">
        <v>45292</v>
      </c>
      <c r="G7" s="60" t="s">
        <v>84</v>
      </c>
      <c r="I7" s="14">
        <v>5</v>
      </c>
      <c r="J7" s="53" t="s">
        <v>68</v>
      </c>
      <c r="K7" s="225" t="s">
        <v>85</v>
      </c>
      <c r="L7" s="203" t="s">
        <v>69</v>
      </c>
      <c r="M7" s="201"/>
      <c r="N7" s="203" t="s">
        <v>70</v>
      </c>
      <c r="O7" s="201"/>
      <c r="P7" s="203" t="s">
        <v>66</v>
      </c>
      <c r="Q7" s="201"/>
      <c r="R7" s="53" t="s">
        <v>68</v>
      </c>
      <c r="S7" s="43" t="s">
        <v>74</v>
      </c>
      <c r="T7" s="53" t="s">
        <v>69</v>
      </c>
      <c r="U7" s="225" t="s">
        <v>73</v>
      </c>
      <c r="V7" s="53" t="s">
        <v>70</v>
      </c>
      <c r="W7" s="221" t="str">
        <f t="shared" si="0"/>
        <v>COMS1007</v>
      </c>
      <c r="X7" s="53" t="s">
        <v>66</v>
      </c>
      <c r="Y7" s="221" t="str">
        <f t="shared" si="0"/>
        <v>INAR1011</v>
      </c>
      <c r="Z7" s="53" t="s">
        <v>68</v>
      </c>
      <c r="AA7" s="43" t="s">
        <v>74</v>
      </c>
      <c r="AB7" s="53" t="s">
        <v>69</v>
      </c>
      <c r="AC7" s="225" t="s">
        <v>73</v>
      </c>
      <c r="AD7" s="53" t="s">
        <v>70</v>
      </c>
      <c r="AE7" s="221" t="str">
        <f t="shared" si="1"/>
        <v>COMS1007</v>
      </c>
      <c r="AF7" s="53" t="s">
        <v>66</v>
      </c>
      <c r="AG7" s="221" t="str">
        <f t="shared" si="2"/>
        <v>INAR1011</v>
      </c>
      <c r="AH7" s="53" t="s">
        <v>68</v>
      </c>
      <c r="AI7" s="43" t="s">
        <v>74</v>
      </c>
      <c r="AJ7" s="53" t="s">
        <v>69</v>
      </c>
      <c r="AK7" s="225" t="s">
        <v>73</v>
      </c>
      <c r="AL7" s="53" t="s">
        <v>70</v>
      </c>
      <c r="AM7" s="221" t="str">
        <f t="shared" si="3"/>
        <v>COMS1007</v>
      </c>
      <c r="AN7" s="53" t="s">
        <v>66</v>
      </c>
      <c r="AO7" s="221" t="str">
        <f t="shared" si="4"/>
        <v>INAR1011</v>
      </c>
      <c r="AP7" s="53" t="s">
        <v>68</v>
      </c>
      <c r="AQ7" s="43" t="s">
        <v>74</v>
      </c>
      <c r="AR7" s="53" t="s">
        <v>69</v>
      </c>
      <c r="AS7" s="225" t="s">
        <v>73</v>
      </c>
      <c r="AT7" s="53" t="s">
        <v>70</v>
      </c>
      <c r="AU7" s="221" t="str">
        <f t="shared" si="5"/>
        <v>COMS1007</v>
      </c>
      <c r="AV7" s="53" t="s">
        <v>66</v>
      </c>
      <c r="AW7" s="221" t="str">
        <f t="shared" si="6"/>
        <v>INAR1011</v>
      </c>
      <c r="AX7" s="53" t="s">
        <v>68</v>
      </c>
      <c r="AY7" s="43" t="s">
        <v>74</v>
      </c>
      <c r="AZ7" s="53" t="s">
        <v>69</v>
      </c>
      <c r="BA7" s="225" t="s">
        <v>73</v>
      </c>
      <c r="BB7" s="53" t="s">
        <v>70</v>
      </c>
      <c r="BC7" s="221" t="str">
        <f t="shared" si="7"/>
        <v>COMS1007</v>
      </c>
      <c r="BD7" s="53" t="s">
        <v>66</v>
      </c>
      <c r="BE7" s="221" t="str">
        <f t="shared" si="8"/>
        <v>INAR1011</v>
      </c>
    </row>
    <row r="8" spans="1:57" x14ac:dyDescent="0.25">
      <c r="A8" s="5" t="s">
        <v>11</v>
      </c>
      <c r="B8" s="178" t="s">
        <v>86</v>
      </c>
      <c r="C8" s="60" t="s">
        <v>82</v>
      </c>
      <c r="D8" s="60" t="s">
        <v>83</v>
      </c>
      <c r="E8" s="169">
        <v>45292</v>
      </c>
      <c r="F8" s="166">
        <v>45292</v>
      </c>
      <c r="G8" s="60" t="s">
        <v>84</v>
      </c>
      <c r="I8" s="14">
        <v>6</v>
      </c>
      <c r="J8" s="53" t="s">
        <v>69</v>
      </c>
      <c r="K8" s="225" t="s">
        <v>87</v>
      </c>
      <c r="L8" s="203" t="s">
        <v>70</v>
      </c>
      <c r="M8" s="201"/>
      <c r="N8" s="203" t="s">
        <v>66</v>
      </c>
      <c r="O8" s="201"/>
      <c r="P8" s="203" t="s">
        <v>68</v>
      </c>
      <c r="Q8" s="201"/>
      <c r="R8" s="53" t="s">
        <v>69</v>
      </c>
      <c r="S8" s="43" t="s">
        <v>87</v>
      </c>
      <c r="T8" s="53" t="s">
        <v>70</v>
      </c>
      <c r="U8" s="225" t="s">
        <v>88</v>
      </c>
      <c r="V8" s="53" t="s">
        <v>66</v>
      </c>
      <c r="W8" s="221" t="str">
        <f t="shared" si="0"/>
        <v>INAR1015</v>
      </c>
      <c r="X8" s="53" t="s">
        <v>68</v>
      </c>
      <c r="Y8" s="221" t="str">
        <f t="shared" si="0"/>
        <v>ARCH1024</v>
      </c>
      <c r="Z8" s="53" t="s">
        <v>69</v>
      </c>
      <c r="AA8" s="43" t="s">
        <v>87</v>
      </c>
      <c r="AB8" s="53" t="s">
        <v>70</v>
      </c>
      <c r="AC8" s="225" t="s">
        <v>88</v>
      </c>
      <c r="AD8" s="53" t="s">
        <v>66</v>
      </c>
      <c r="AE8" s="221" t="str">
        <f t="shared" si="1"/>
        <v>INAR1015</v>
      </c>
      <c r="AF8" s="53" t="s">
        <v>68</v>
      </c>
      <c r="AG8" s="221" t="str">
        <f t="shared" si="2"/>
        <v>ARCH1024</v>
      </c>
      <c r="AH8" s="53" t="s">
        <v>69</v>
      </c>
      <c r="AI8" s="43" t="s">
        <v>87</v>
      </c>
      <c r="AJ8" s="53" t="s">
        <v>70</v>
      </c>
      <c r="AK8" s="225" t="s">
        <v>88</v>
      </c>
      <c r="AL8" s="53" t="s">
        <v>66</v>
      </c>
      <c r="AM8" s="221" t="str">
        <f t="shared" si="3"/>
        <v>INAR1015</v>
      </c>
      <c r="AN8" s="53" t="s">
        <v>68</v>
      </c>
      <c r="AO8" s="221" t="str">
        <f t="shared" si="4"/>
        <v>ARCH1024</v>
      </c>
      <c r="AP8" s="53" t="s">
        <v>69</v>
      </c>
      <c r="AQ8" s="43" t="s">
        <v>87</v>
      </c>
      <c r="AR8" s="53" t="s">
        <v>70</v>
      </c>
      <c r="AS8" s="225" t="s">
        <v>88</v>
      </c>
      <c r="AT8" s="53" t="s">
        <v>66</v>
      </c>
      <c r="AU8" s="221" t="str">
        <f t="shared" si="5"/>
        <v>INAR1015</v>
      </c>
      <c r="AV8" s="53" t="s">
        <v>68</v>
      </c>
      <c r="AW8" s="221" t="str">
        <f t="shared" si="6"/>
        <v>ARCH1024</v>
      </c>
      <c r="AX8" s="53" t="s">
        <v>69</v>
      </c>
      <c r="AY8" s="43" t="s">
        <v>87</v>
      </c>
      <c r="AZ8" s="53" t="s">
        <v>70</v>
      </c>
      <c r="BA8" s="225" t="s">
        <v>88</v>
      </c>
      <c r="BB8" s="53" t="s">
        <v>66</v>
      </c>
      <c r="BC8" s="221" t="str">
        <f t="shared" si="7"/>
        <v>INAR1015</v>
      </c>
      <c r="BD8" s="53" t="s">
        <v>68</v>
      </c>
      <c r="BE8" s="221" t="str">
        <f t="shared" si="8"/>
        <v>ARCH1024</v>
      </c>
    </row>
    <row r="9" spans="1:57" x14ac:dyDescent="0.25">
      <c r="A9" s="5" t="s">
        <v>89</v>
      </c>
      <c r="B9" s="178" t="s">
        <v>90</v>
      </c>
      <c r="C9" s="60" t="s">
        <v>82</v>
      </c>
      <c r="D9" s="60" t="s">
        <v>91</v>
      </c>
      <c r="E9" s="169">
        <v>45292</v>
      </c>
      <c r="F9" s="166">
        <v>45292</v>
      </c>
      <c r="G9" s="60" t="s">
        <v>84</v>
      </c>
      <c r="I9" s="14">
        <v>7</v>
      </c>
      <c r="J9" s="53" t="s">
        <v>69</v>
      </c>
      <c r="K9" s="225" t="s">
        <v>85</v>
      </c>
      <c r="L9" s="203" t="s">
        <v>70</v>
      </c>
      <c r="M9" s="201"/>
      <c r="N9" s="203" t="s">
        <v>66</v>
      </c>
      <c r="O9" s="201"/>
      <c r="P9" s="203" t="s">
        <v>68</v>
      </c>
      <c r="Q9" s="201"/>
      <c r="R9" s="53" t="s">
        <v>69</v>
      </c>
      <c r="S9" s="43" t="s">
        <v>92</v>
      </c>
      <c r="T9" s="53" t="s">
        <v>70</v>
      </c>
      <c r="U9" s="237" t="s">
        <v>85</v>
      </c>
      <c r="V9" s="53" t="s">
        <v>66</v>
      </c>
      <c r="W9" s="221" t="str">
        <f t="shared" si="0"/>
        <v>INAR2020</v>
      </c>
      <c r="X9" s="53" t="s">
        <v>68</v>
      </c>
      <c r="Y9" s="221" t="str">
        <f t="shared" si="0"/>
        <v>Spec</v>
      </c>
      <c r="Z9" s="53" t="s">
        <v>69</v>
      </c>
      <c r="AA9" s="236" t="s">
        <v>85</v>
      </c>
      <c r="AB9" s="53" t="s">
        <v>70</v>
      </c>
      <c r="AC9" s="237" t="s">
        <v>85</v>
      </c>
      <c r="AD9" s="53" t="s">
        <v>66</v>
      </c>
      <c r="AE9" s="221" t="str">
        <f t="shared" si="1"/>
        <v>Spec</v>
      </c>
      <c r="AF9" s="53" t="s">
        <v>68</v>
      </c>
      <c r="AG9" s="221" t="str">
        <f t="shared" si="2"/>
        <v>Spec</v>
      </c>
      <c r="AH9" s="53" t="s">
        <v>69</v>
      </c>
      <c r="AI9" s="236" t="s">
        <v>85</v>
      </c>
      <c r="AJ9" s="53" t="s">
        <v>70</v>
      </c>
      <c r="AK9" s="237" t="s">
        <v>85</v>
      </c>
      <c r="AL9" s="53" t="s">
        <v>66</v>
      </c>
      <c r="AM9" s="221" t="str">
        <f t="shared" si="3"/>
        <v>Spec</v>
      </c>
      <c r="AN9" s="53" t="s">
        <v>68</v>
      </c>
      <c r="AO9" s="221" t="str">
        <f t="shared" si="4"/>
        <v>Spec</v>
      </c>
      <c r="AP9" s="53" t="s">
        <v>69</v>
      </c>
      <c r="AQ9" s="236" t="s">
        <v>85</v>
      </c>
      <c r="AR9" s="53" t="s">
        <v>70</v>
      </c>
      <c r="AS9" s="225" t="s">
        <v>93</v>
      </c>
      <c r="AT9" s="53" t="s">
        <v>66</v>
      </c>
      <c r="AU9" s="221" t="str">
        <f t="shared" si="5"/>
        <v>Spec</v>
      </c>
      <c r="AV9" s="53" t="s">
        <v>68</v>
      </c>
      <c r="AW9" s="221" t="str">
        <f t="shared" si="6"/>
        <v>INAR2023</v>
      </c>
      <c r="AX9" s="53" t="s">
        <v>69</v>
      </c>
      <c r="AY9" s="236" t="s">
        <v>85</v>
      </c>
      <c r="AZ9" s="53" t="s">
        <v>70</v>
      </c>
      <c r="BA9" s="237" t="s">
        <v>85</v>
      </c>
      <c r="BB9" s="53" t="s">
        <v>66</v>
      </c>
      <c r="BC9" s="221" t="str">
        <f t="shared" si="7"/>
        <v>Spec</v>
      </c>
      <c r="BD9" s="53" t="s">
        <v>68</v>
      </c>
      <c r="BE9" s="221" t="str">
        <f t="shared" si="8"/>
        <v>Spec</v>
      </c>
    </row>
    <row r="10" spans="1:57" x14ac:dyDescent="0.25">
      <c r="A10" s="5" t="s">
        <v>38</v>
      </c>
      <c r="B10" s="178" t="s">
        <v>94</v>
      </c>
      <c r="C10" s="60" t="s">
        <v>82</v>
      </c>
      <c r="D10" s="60" t="s">
        <v>91</v>
      </c>
      <c r="E10" s="169">
        <v>45292</v>
      </c>
      <c r="F10" s="166">
        <v>45292</v>
      </c>
      <c r="G10" s="60" t="s">
        <v>84</v>
      </c>
      <c r="I10" s="14">
        <v>8</v>
      </c>
      <c r="J10" s="53" t="s">
        <v>70</v>
      </c>
      <c r="K10" s="225" t="s">
        <v>88</v>
      </c>
      <c r="L10" s="203" t="s">
        <v>66</v>
      </c>
      <c r="M10" s="201"/>
      <c r="N10" s="203" t="s">
        <v>68</v>
      </c>
      <c r="O10" s="201"/>
      <c r="P10" s="203" t="s">
        <v>69</v>
      </c>
      <c r="Q10" s="201"/>
      <c r="R10" s="53" t="s">
        <v>70</v>
      </c>
      <c r="S10" s="43" t="s">
        <v>88</v>
      </c>
      <c r="T10" s="53" t="s">
        <v>66</v>
      </c>
      <c r="U10" s="225" t="s">
        <v>87</v>
      </c>
      <c r="V10" s="53" t="s">
        <v>68</v>
      </c>
      <c r="W10" s="221" t="str">
        <f t="shared" si="0"/>
        <v>ARCH1024</v>
      </c>
      <c r="X10" s="53" t="s">
        <v>69</v>
      </c>
      <c r="Y10" s="221" t="str">
        <f t="shared" si="0"/>
        <v>INAR1015</v>
      </c>
      <c r="Z10" s="53" t="s">
        <v>70</v>
      </c>
      <c r="AA10" s="43" t="s">
        <v>88</v>
      </c>
      <c r="AB10" s="53" t="s">
        <v>66</v>
      </c>
      <c r="AC10" s="225" t="s">
        <v>87</v>
      </c>
      <c r="AD10" s="53" t="s">
        <v>68</v>
      </c>
      <c r="AE10" s="221" t="str">
        <f t="shared" si="1"/>
        <v>ARCH1024</v>
      </c>
      <c r="AF10" s="53" t="s">
        <v>69</v>
      </c>
      <c r="AG10" s="221" t="str">
        <f t="shared" si="2"/>
        <v>INAR1015</v>
      </c>
      <c r="AH10" s="53" t="s">
        <v>70</v>
      </c>
      <c r="AI10" s="43" t="s">
        <v>88</v>
      </c>
      <c r="AJ10" s="53" t="s">
        <v>66</v>
      </c>
      <c r="AK10" s="225" t="s">
        <v>87</v>
      </c>
      <c r="AL10" s="53" t="s">
        <v>68</v>
      </c>
      <c r="AM10" s="221" t="str">
        <f t="shared" si="3"/>
        <v>ARCH1024</v>
      </c>
      <c r="AN10" s="53" t="s">
        <v>69</v>
      </c>
      <c r="AO10" s="221" t="str">
        <f t="shared" si="4"/>
        <v>INAR1015</v>
      </c>
      <c r="AP10" s="53" t="s">
        <v>70</v>
      </c>
      <c r="AQ10" s="43" t="s">
        <v>88</v>
      </c>
      <c r="AR10" s="53" t="s">
        <v>66</v>
      </c>
      <c r="AS10" s="225" t="s">
        <v>87</v>
      </c>
      <c r="AT10" s="53" t="s">
        <v>68</v>
      </c>
      <c r="AU10" s="221" t="str">
        <f t="shared" si="5"/>
        <v>ARCH1024</v>
      </c>
      <c r="AV10" s="53" t="s">
        <v>69</v>
      </c>
      <c r="AW10" s="221" t="str">
        <f t="shared" si="6"/>
        <v>INAR1015</v>
      </c>
      <c r="AX10" s="53" t="s">
        <v>70</v>
      </c>
      <c r="AY10" s="43" t="s">
        <v>88</v>
      </c>
      <c r="AZ10" s="53" t="s">
        <v>66</v>
      </c>
      <c r="BA10" s="225" t="s">
        <v>87</v>
      </c>
      <c r="BB10" s="53" t="s">
        <v>68</v>
      </c>
      <c r="BC10" s="221" t="str">
        <f t="shared" si="7"/>
        <v>ARCH1024</v>
      </c>
      <c r="BD10" s="53" t="s">
        <v>69</v>
      </c>
      <c r="BE10" s="221" t="str">
        <f t="shared" si="8"/>
        <v>INAR1015</v>
      </c>
    </row>
    <row r="11" spans="1:57" x14ac:dyDescent="0.25">
      <c r="I11" s="14">
        <v>9</v>
      </c>
      <c r="J11" s="53" t="s">
        <v>70</v>
      </c>
      <c r="K11" s="225" t="s">
        <v>74</v>
      </c>
      <c r="L11" s="204" t="s">
        <v>66</v>
      </c>
      <c r="M11" s="201"/>
      <c r="N11" s="203" t="s">
        <v>68</v>
      </c>
      <c r="O11" s="201"/>
      <c r="P11" s="204" t="s">
        <v>69</v>
      </c>
      <c r="Q11" s="201"/>
      <c r="R11" s="53" t="s">
        <v>70</v>
      </c>
      <c r="S11" s="236" t="s">
        <v>85</v>
      </c>
      <c r="T11" s="54" t="s">
        <v>66</v>
      </c>
      <c r="U11" s="225" t="s">
        <v>92</v>
      </c>
      <c r="V11" s="53" t="s">
        <v>68</v>
      </c>
      <c r="W11" s="221" t="str">
        <f t="shared" si="0"/>
        <v>Spec</v>
      </c>
      <c r="X11" s="54" t="s">
        <v>69</v>
      </c>
      <c r="Y11" s="221" t="str">
        <f t="shared" si="0"/>
        <v>INAR2020</v>
      </c>
      <c r="Z11" s="53" t="s">
        <v>70</v>
      </c>
      <c r="AA11" s="236" t="s">
        <v>85</v>
      </c>
      <c r="AB11" s="54" t="s">
        <v>66</v>
      </c>
      <c r="AC11" s="237" t="s">
        <v>85</v>
      </c>
      <c r="AD11" s="53" t="s">
        <v>68</v>
      </c>
      <c r="AE11" s="221" t="str">
        <f t="shared" si="1"/>
        <v>Spec</v>
      </c>
      <c r="AF11" s="54" t="s">
        <v>69</v>
      </c>
      <c r="AG11" s="221" t="str">
        <f t="shared" si="2"/>
        <v>Spec</v>
      </c>
      <c r="AH11" s="53" t="s">
        <v>70</v>
      </c>
      <c r="AI11" s="236" t="s">
        <v>85</v>
      </c>
      <c r="AJ11" s="54" t="s">
        <v>66</v>
      </c>
      <c r="AK11" s="237" t="s">
        <v>85</v>
      </c>
      <c r="AL11" s="53" t="s">
        <v>68</v>
      </c>
      <c r="AM11" s="221" t="str">
        <f t="shared" si="3"/>
        <v>Spec</v>
      </c>
      <c r="AN11" s="54" t="s">
        <v>69</v>
      </c>
      <c r="AO11" s="221" t="str">
        <f t="shared" si="4"/>
        <v>Spec</v>
      </c>
      <c r="AP11" s="53" t="s">
        <v>70</v>
      </c>
      <c r="AQ11" s="43" t="s">
        <v>93</v>
      </c>
      <c r="AR11" s="54" t="s">
        <v>66</v>
      </c>
      <c r="AS11" s="237" t="s">
        <v>85</v>
      </c>
      <c r="AT11" s="53" t="s">
        <v>68</v>
      </c>
      <c r="AU11" s="221" t="str">
        <f t="shared" si="5"/>
        <v>INAR2023</v>
      </c>
      <c r="AV11" s="54" t="s">
        <v>69</v>
      </c>
      <c r="AW11" s="221" t="str">
        <f t="shared" si="6"/>
        <v>Spec</v>
      </c>
      <c r="AX11" s="53" t="s">
        <v>70</v>
      </c>
      <c r="AY11" s="236" t="s">
        <v>85</v>
      </c>
      <c r="AZ11" s="54" t="s">
        <v>66</v>
      </c>
      <c r="BA11" s="237" t="s">
        <v>85</v>
      </c>
      <c r="BB11" s="53" t="s">
        <v>68</v>
      </c>
      <c r="BC11" s="221" t="str">
        <f t="shared" si="7"/>
        <v>Spec</v>
      </c>
      <c r="BD11" s="54" t="s">
        <v>69</v>
      </c>
      <c r="BE11" s="221" t="str">
        <f t="shared" si="8"/>
        <v>Spec</v>
      </c>
    </row>
    <row r="12" spans="1:57" x14ac:dyDescent="0.25">
      <c r="A12" s="164" t="s">
        <v>95</v>
      </c>
      <c r="I12" s="14">
        <v>10</v>
      </c>
      <c r="J12" s="52" t="s">
        <v>96</v>
      </c>
      <c r="K12" s="224" t="s">
        <v>92</v>
      </c>
      <c r="L12" s="202" t="s">
        <v>97</v>
      </c>
      <c r="M12" s="200"/>
      <c r="N12" s="202" t="s">
        <v>98</v>
      </c>
      <c r="O12" s="200"/>
      <c r="P12" s="202" t="s">
        <v>99</v>
      </c>
      <c r="Q12" s="200"/>
      <c r="R12" s="80" t="s">
        <v>96</v>
      </c>
      <c r="S12" s="42" t="s">
        <v>100</v>
      </c>
      <c r="T12" s="80" t="s">
        <v>97</v>
      </c>
      <c r="U12" s="220" t="str">
        <f>S12</f>
        <v>INAR2015</v>
      </c>
      <c r="V12" s="80" t="s">
        <v>98</v>
      </c>
      <c r="W12" s="220" t="str">
        <f>S12</f>
        <v>INAR2015</v>
      </c>
      <c r="X12" s="80" t="s">
        <v>99</v>
      </c>
      <c r="Y12" s="220" t="str">
        <f>S12</f>
        <v>INAR2015</v>
      </c>
      <c r="Z12" s="80" t="s">
        <v>96</v>
      </c>
      <c r="AA12" s="42" t="s">
        <v>92</v>
      </c>
      <c r="AB12" s="80" t="s">
        <v>97</v>
      </c>
      <c r="AC12" s="220" t="str">
        <f>AA12</f>
        <v>INAR2020</v>
      </c>
      <c r="AD12" s="80" t="s">
        <v>98</v>
      </c>
      <c r="AE12" s="220" t="str">
        <f>AA12</f>
        <v>INAR2020</v>
      </c>
      <c r="AF12" s="80" t="s">
        <v>99</v>
      </c>
      <c r="AG12" s="220" t="str">
        <f>AA12</f>
        <v>INAR2020</v>
      </c>
      <c r="AH12" s="80" t="s">
        <v>96</v>
      </c>
      <c r="AI12" s="42" t="s">
        <v>92</v>
      </c>
      <c r="AJ12" s="80" t="s">
        <v>97</v>
      </c>
      <c r="AK12" s="220" t="str">
        <f>AI12</f>
        <v>INAR2020</v>
      </c>
      <c r="AL12" s="80" t="s">
        <v>98</v>
      </c>
      <c r="AM12" s="220" t="str">
        <f>AI12</f>
        <v>INAR2020</v>
      </c>
      <c r="AN12" s="80" t="s">
        <v>99</v>
      </c>
      <c r="AO12" s="220" t="str">
        <f>AI12</f>
        <v>INAR2020</v>
      </c>
      <c r="AP12" s="80" t="s">
        <v>96</v>
      </c>
      <c r="AQ12" s="42" t="s">
        <v>92</v>
      </c>
      <c r="AR12" s="80" t="s">
        <v>97</v>
      </c>
      <c r="AS12" s="220" t="str">
        <f>AQ12</f>
        <v>INAR2020</v>
      </c>
      <c r="AT12" s="80" t="s">
        <v>98</v>
      </c>
      <c r="AU12" s="220" t="str">
        <f>AQ12</f>
        <v>INAR2020</v>
      </c>
      <c r="AV12" s="80" t="s">
        <v>99</v>
      </c>
      <c r="AW12" s="220" t="str">
        <f>AQ12</f>
        <v>INAR2020</v>
      </c>
      <c r="AX12" s="80" t="s">
        <v>96</v>
      </c>
      <c r="AY12" s="42" t="s">
        <v>92</v>
      </c>
      <c r="AZ12" s="80" t="s">
        <v>97</v>
      </c>
      <c r="BA12" s="220" t="str">
        <f>AY12</f>
        <v>INAR2020</v>
      </c>
      <c r="BB12" s="80" t="s">
        <v>98</v>
      </c>
      <c r="BC12" s="220" t="str">
        <f>AY12</f>
        <v>INAR2020</v>
      </c>
      <c r="BD12" s="80" t="s">
        <v>99</v>
      </c>
      <c r="BE12" s="220" t="str">
        <f>AY12</f>
        <v>INAR2020</v>
      </c>
    </row>
    <row r="13" spans="1:57" x14ac:dyDescent="0.25">
      <c r="A13" s="9" t="s">
        <v>40</v>
      </c>
      <c r="B13" s="12" t="s">
        <v>101</v>
      </c>
      <c r="C13" s="5" t="s">
        <v>102</v>
      </c>
      <c r="D13" s="5" t="s">
        <v>103</v>
      </c>
      <c r="E13" s="5" t="s">
        <v>104</v>
      </c>
      <c r="I13" s="14">
        <v>11</v>
      </c>
      <c r="J13" s="53" t="s">
        <v>96</v>
      </c>
      <c r="K13" s="225" t="s">
        <v>100</v>
      </c>
      <c r="L13" s="203" t="s">
        <v>97</v>
      </c>
      <c r="M13" s="201"/>
      <c r="N13" s="203" t="s">
        <v>98</v>
      </c>
      <c r="O13" s="201"/>
      <c r="P13" s="203" t="s">
        <v>99</v>
      </c>
      <c r="Q13" s="201"/>
      <c r="R13" s="81" t="s">
        <v>96</v>
      </c>
      <c r="S13" s="43" t="s">
        <v>93</v>
      </c>
      <c r="T13" s="81" t="s">
        <v>97</v>
      </c>
      <c r="U13" s="221" t="str">
        <f t="shared" ref="U13:U35" si="9">S13</f>
        <v>INAR2023</v>
      </c>
      <c r="V13" s="81" t="s">
        <v>98</v>
      </c>
      <c r="W13" s="221" t="str">
        <f t="shared" ref="W13:W35" si="10">S13</f>
        <v>INAR2023</v>
      </c>
      <c r="X13" s="81" t="s">
        <v>99</v>
      </c>
      <c r="Y13" s="221" t="str">
        <f t="shared" ref="Y13:Y35" si="11">S13</f>
        <v>INAR2023</v>
      </c>
      <c r="Z13" s="81" t="s">
        <v>96</v>
      </c>
      <c r="AA13" s="43" t="s">
        <v>100</v>
      </c>
      <c r="AB13" s="81" t="s">
        <v>97</v>
      </c>
      <c r="AC13" s="221" t="str">
        <f t="shared" ref="AC13:AC19" si="12">AA13</f>
        <v>INAR2015</v>
      </c>
      <c r="AD13" s="81" t="s">
        <v>98</v>
      </c>
      <c r="AE13" s="221" t="str">
        <f t="shared" ref="AE13:AE19" si="13">AA13</f>
        <v>INAR2015</v>
      </c>
      <c r="AF13" s="81" t="s">
        <v>99</v>
      </c>
      <c r="AG13" s="221" t="str">
        <f t="shared" ref="AG13:AG19" si="14">AA13</f>
        <v>INAR2015</v>
      </c>
      <c r="AH13" s="81" t="s">
        <v>96</v>
      </c>
      <c r="AI13" s="43" t="s">
        <v>100</v>
      </c>
      <c r="AJ13" s="81" t="s">
        <v>97</v>
      </c>
      <c r="AK13" s="221" t="str">
        <f t="shared" ref="AK13:AK19" si="15">AI13</f>
        <v>INAR2015</v>
      </c>
      <c r="AL13" s="81" t="s">
        <v>98</v>
      </c>
      <c r="AM13" s="221" t="str">
        <f t="shared" ref="AM13:AM19" si="16">AI13</f>
        <v>INAR2015</v>
      </c>
      <c r="AN13" s="81" t="s">
        <v>99</v>
      </c>
      <c r="AO13" s="221" t="str">
        <f t="shared" ref="AO13:AO19" si="17">AI13</f>
        <v>INAR2015</v>
      </c>
      <c r="AP13" s="81" t="s">
        <v>96</v>
      </c>
      <c r="AQ13" s="43" t="s">
        <v>100</v>
      </c>
      <c r="AR13" s="81" t="s">
        <v>97</v>
      </c>
      <c r="AS13" s="221" t="str">
        <f t="shared" ref="AS13:AS19" si="18">AQ13</f>
        <v>INAR2015</v>
      </c>
      <c r="AT13" s="81" t="s">
        <v>98</v>
      </c>
      <c r="AU13" s="221" t="str">
        <f t="shared" ref="AU13:AU19" si="19">AQ13</f>
        <v>INAR2015</v>
      </c>
      <c r="AV13" s="81" t="s">
        <v>99</v>
      </c>
      <c r="AW13" s="221" t="str">
        <f t="shared" ref="AW13:AW19" si="20">AQ13</f>
        <v>INAR2015</v>
      </c>
      <c r="AX13" s="81" t="s">
        <v>96</v>
      </c>
      <c r="AY13" s="43" t="s">
        <v>100</v>
      </c>
      <c r="AZ13" s="81" t="s">
        <v>97</v>
      </c>
      <c r="BA13" s="221" t="str">
        <f t="shared" ref="BA13:BA19" si="21">AY13</f>
        <v>INAR2015</v>
      </c>
      <c r="BB13" s="81" t="s">
        <v>98</v>
      </c>
      <c r="BC13" s="221" t="str">
        <f t="shared" ref="BC13:BC19" si="22">AY13</f>
        <v>INAR2015</v>
      </c>
      <c r="BD13" s="81" t="s">
        <v>99</v>
      </c>
      <c r="BE13" s="221" t="str">
        <f t="shared" ref="BE13:BE19" si="23">AY13</f>
        <v>INAR2015</v>
      </c>
    </row>
    <row r="14" spans="1:57" x14ac:dyDescent="0.25">
      <c r="A14" s="5" t="s">
        <v>17</v>
      </c>
      <c r="B14" s="60" t="s">
        <v>25</v>
      </c>
      <c r="C14" s="60" t="s">
        <v>26</v>
      </c>
      <c r="D14" s="60" t="s">
        <v>27</v>
      </c>
      <c r="E14" s="60" t="s">
        <v>28</v>
      </c>
      <c r="H14"/>
      <c r="I14" s="14">
        <v>12</v>
      </c>
      <c r="J14" s="53" t="s">
        <v>97</v>
      </c>
      <c r="K14" s="225" t="s">
        <v>93</v>
      </c>
      <c r="L14" s="203" t="s">
        <v>98</v>
      </c>
      <c r="M14" s="201"/>
      <c r="N14" s="203" t="s">
        <v>99</v>
      </c>
      <c r="O14" s="201"/>
      <c r="P14" s="203" t="s">
        <v>96</v>
      </c>
      <c r="Q14" s="201"/>
      <c r="R14" s="81" t="s">
        <v>97</v>
      </c>
      <c r="S14" s="43" t="s">
        <v>105</v>
      </c>
      <c r="T14" s="81" t="s">
        <v>98</v>
      </c>
      <c r="U14" s="221" t="str">
        <f t="shared" si="9"/>
        <v>ARCH2029</v>
      </c>
      <c r="V14" s="81" t="s">
        <v>99</v>
      </c>
      <c r="W14" s="221" t="str">
        <f t="shared" si="10"/>
        <v>ARCH2029</v>
      </c>
      <c r="X14" s="81" t="s">
        <v>96</v>
      </c>
      <c r="Y14" s="221" t="str">
        <f t="shared" si="11"/>
        <v>ARCH2029</v>
      </c>
      <c r="Z14" s="81" t="s">
        <v>97</v>
      </c>
      <c r="AA14" s="43" t="s">
        <v>93</v>
      </c>
      <c r="AB14" s="81" t="s">
        <v>98</v>
      </c>
      <c r="AC14" s="221" t="str">
        <f t="shared" si="12"/>
        <v>INAR2023</v>
      </c>
      <c r="AD14" s="81" t="s">
        <v>99</v>
      </c>
      <c r="AE14" s="221" t="str">
        <f t="shared" si="13"/>
        <v>INAR2023</v>
      </c>
      <c r="AF14" s="81" t="s">
        <v>96</v>
      </c>
      <c r="AG14" s="221" t="str">
        <f t="shared" si="14"/>
        <v>INAR2023</v>
      </c>
      <c r="AH14" s="81" t="s">
        <v>97</v>
      </c>
      <c r="AI14" s="43" t="s">
        <v>93</v>
      </c>
      <c r="AJ14" s="81" t="s">
        <v>98</v>
      </c>
      <c r="AK14" s="221" t="str">
        <f t="shared" si="15"/>
        <v>INAR2023</v>
      </c>
      <c r="AL14" s="81" t="s">
        <v>99</v>
      </c>
      <c r="AM14" s="221" t="str">
        <f t="shared" si="16"/>
        <v>INAR2023</v>
      </c>
      <c r="AN14" s="81" t="s">
        <v>96</v>
      </c>
      <c r="AO14" s="221" t="str">
        <f t="shared" si="17"/>
        <v>INAR2023</v>
      </c>
      <c r="AP14" s="81" t="s">
        <v>97</v>
      </c>
      <c r="AQ14" s="43" t="s">
        <v>105</v>
      </c>
      <c r="AR14" s="81" t="s">
        <v>98</v>
      </c>
      <c r="AS14" s="221" t="str">
        <f t="shared" si="18"/>
        <v>ARCH2029</v>
      </c>
      <c r="AT14" s="81" t="s">
        <v>99</v>
      </c>
      <c r="AU14" s="221" t="str">
        <f t="shared" si="19"/>
        <v>ARCH2029</v>
      </c>
      <c r="AV14" s="81" t="s">
        <v>96</v>
      </c>
      <c r="AW14" s="221" t="str">
        <f t="shared" si="20"/>
        <v>ARCH2029</v>
      </c>
      <c r="AX14" s="81" t="s">
        <v>97</v>
      </c>
      <c r="AY14" s="43" t="s">
        <v>93</v>
      </c>
      <c r="AZ14" s="81" t="s">
        <v>98</v>
      </c>
      <c r="BA14" s="221" t="str">
        <f t="shared" si="21"/>
        <v>INAR2023</v>
      </c>
      <c r="BB14" s="81" t="s">
        <v>99</v>
      </c>
      <c r="BC14" s="221" t="str">
        <f t="shared" si="22"/>
        <v>INAR2023</v>
      </c>
      <c r="BD14" s="81" t="s">
        <v>96</v>
      </c>
      <c r="BE14" s="221" t="str">
        <f t="shared" si="23"/>
        <v>INAR2023</v>
      </c>
    </row>
    <row r="15" spans="1:57" x14ac:dyDescent="0.25">
      <c r="A15" s="5" t="s">
        <v>106</v>
      </c>
      <c r="B15" s="60" t="s">
        <v>26</v>
      </c>
      <c r="C15" s="60" t="s">
        <v>27</v>
      </c>
      <c r="D15" s="60" t="s">
        <v>28</v>
      </c>
      <c r="E15" s="60" t="s">
        <v>25</v>
      </c>
      <c r="H15"/>
      <c r="I15" s="14">
        <v>13</v>
      </c>
      <c r="J15" s="53" t="s">
        <v>97</v>
      </c>
      <c r="K15" s="225" t="s">
        <v>105</v>
      </c>
      <c r="L15" s="203" t="s">
        <v>98</v>
      </c>
      <c r="M15" s="201"/>
      <c r="N15" s="203" t="s">
        <v>99</v>
      </c>
      <c r="O15" s="201"/>
      <c r="P15" s="203" t="s">
        <v>96</v>
      </c>
      <c r="Q15" s="201"/>
      <c r="R15" s="81" t="s">
        <v>97</v>
      </c>
      <c r="S15" s="43" t="s">
        <v>107</v>
      </c>
      <c r="T15" s="81" t="s">
        <v>98</v>
      </c>
      <c r="U15" s="221" t="str">
        <f t="shared" si="9"/>
        <v>ARCH2027</v>
      </c>
      <c r="V15" s="81" t="s">
        <v>99</v>
      </c>
      <c r="W15" s="221" t="str">
        <f t="shared" si="10"/>
        <v>ARCH2027</v>
      </c>
      <c r="X15" s="81" t="s">
        <v>96</v>
      </c>
      <c r="Y15" s="221" t="str">
        <f t="shared" si="11"/>
        <v>ARCH2027</v>
      </c>
      <c r="Z15" s="81" t="s">
        <v>97</v>
      </c>
      <c r="AA15" s="43" t="s">
        <v>105</v>
      </c>
      <c r="AB15" s="81" t="s">
        <v>98</v>
      </c>
      <c r="AC15" s="221" t="str">
        <f t="shared" si="12"/>
        <v>ARCH2029</v>
      </c>
      <c r="AD15" s="81" t="s">
        <v>99</v>
      </c>
      <c r="AE15" s="221" t="str">
        <f t="shared" si="13"/>
        <v>ARCH2029</v>
      </c>
      <c r="AF15" s="81" t="s">
        <v>96</v>
      </c>
      <c r="AG15" s="221" t="str">
        <f t="shared" si="14"/>
        <v>ARCH2029</v>
      </c>
      <c r="AH15" s="81" t="s">
        <v>97</v>
      </c>
      <c r="AI15" s="43" t="s">
        <v>105</v>
      </c>
      <c r="AJ15" s="81" t="s">
        <v>98</v>
      </c>
      <c r="AK15" s="221" t="str">
        <f t="shared" si="15"/>
        <v>ARCH2029</v>
      </c>
      <c r="AL15" s="81" t="s">
        <v>99</v>
      </c>
      <c r="AM15" s="221" t="str">
        <f t="shared" si="16"/>
        <v>ARCH2029</v>
      </c>
      <c r="AN15" s="81" t="s">
        <v>96</v>
      </c>
      <c r="AO15" s="221" t="str">
        <f t="shared" si="17"/>
        <v>ARCH2029</v>
      </c>
      <c r="AP15" s="81" t="s">
        <v>97</v>
      </c>
      <c r="AQ15" s="43" t="s">
        <v>107</v>
      </c>
      <c r="AR15" s="81" t="s">
        <v>98</v>
      </c>
      <c r="AS15" s="221" t="str">
        <f t="shared" si="18"/>
        <v>ARCH2027</v>
      </c>
      <c r="AT15" s="81" t="s">
        <v>99</v>
      </c>
      <c r="AU15" s="221" t="str">
        <f t="shared" si="19"/>
        <v>ARCH2027</v>
      </c>
      <c r="AV15" s="81" t="s">
        <v>96</v>
      </c>
      <c r="AW15" s="221" t="str">
        <f t="shared" si="20"/>
        <v>ARCH2027</v>
      </c>
      <c r="AX15" s="81" t="s">
        <v>97</v>
      </c>
      <c r="AY15" s="43" t="s">
        <v>105</v>
      </c>
      <c r="AZ15" s="81" t="s">
        <v>98</v>
      </c>
      <c r="BA15" s="221" t="str">
        <f t="shared" si="21"/>
        <v>ARCH2029</v>
      </c>
      <c r="BB15" s="81" t="s">
        <v>99</v>
      </c>
      <c r="BC15" s="221" t="str">
        <f t="shared" si="22"/>
        <v>ARCH2029</v>
      </c>
      <c r="BD15" s="81" t="s">
        <v>96</v>
      </c>
      <c r="BE15" s="221" t="str">
        <f t="shared" si="23"/>
        <v>ARCH2029</v>
      </c>
    </row>
    <row r="16" spans="1:57" x14ac:dyDescent="0.25">
      <c r="A16" s="5" t="s">
        <v>108</v>
      </c>
      <c r="B16" s="60" t="s">
        <v>27</v>
      </c>
      <c r="C16" s="60" t="s">
        <v>28</v>
      </c>
      <c r="D16" s="60" t="s">
        <v>25</v>
      </c>
      <c r="E16" s="60" t="s">
        <v>26</v>
      </c>
      <c r="H16"/>
      <c r="I16" s="14">
        <v>14</v>
      </c>
      <c r="J16" s="53" t="s">
        <v>98</v>
      </c>
      <c r="K16" s="225" t="s">
        <v>107</v>
      </c>
      <c r="L16" s="203" t="s">
        <v>99</v>
      </c>
      <c r="M16" s="201"/>
      <c r="N16" s="203" t="s">
        <v>96</v>
      </c>
      <c r="O16" s="201"/>
      <c r="P16" s="203" t="s">
        <v>97</v>
      </c>
      <c r="Q16" s="201"/>
      <c r="R16" s="81" t="s">
        <v>98</v>
      </c>
      <c r="S16" s="43" t="s">
        <v>109</v>
      </c>
      <c r="T16" s="81" t="s">
        <v>99</v>
      </c>
      <c r="U16" s="221" t="str">
        <f t="shared" si="9"/>
        <v>GRDE2045</v>
      </c>
      <c r="V16" s="81" t="s">
        <v>96</v>
      </c>
      <c r="W16" s="221" t="str">
        <f t="shared" si="10"/>
        <v>GRDE2045</v>
      </c>
      <c r="X16" s="81" t="s">
        <v>97</v>
      </c>
      <c r="Y16" s="221" t="str">
        <f t="shared" si="11"/>
        <v>GRDE2045</v>
      </c>
      <c r="Z16" s="81" t="s">
        <v>98</v>
      </c>
      <c r="AA16" s="43" t="s">
        <v>107</v>
      </c>
      <c r="AB16" s="81" t="s">
        <v>99</v>
      </c>
      <c r="AC16" s="221" t="str">
        <f t="shared" si="12"/>
        <v>ARCH2027</v>
      </c>
      <c r="AD16" s="81" t="s">
        <v>96</v>
      </c>
      <c r="AE16" s="221" t="str">
        <f t="shared" si="13"/>
        <v>ARCH2027</v>
      </c>
      <c r="AF16" s="81" t="s">
        <v>97</v>
      </c>
      <c r="AG16" s="221" t="str">
        <f t="shared" si="14"/>
        <v>ARCH2027</v>
      </c>
      <c r="AH16" s="81" t="s">
        <v>98</v>
      </c>
      <c r="AI16" s="43" t="s">
        <v>107</v>
      </c>
      <c r="AJ16" s="81" t="s">
        <v>99</v>
      </c>
      <c r="AK16" s="221" t="str">
        <f t="shared" si="15"/>
        <v>ARCH2027</v>
      </c>
      <c r="AL16" s="81" t="s">
        <v>96</v>
      </c>
      <c r="AM16" s="221" t="str">
        <f t="shared" si="16"/>
        <v>ARCH2027</v>
      </c>
      <c r="AN16" s="81" t="s">
        <v>97</v>
      </c>
      <c r="AO16" s="221" t="str">
        <f t="shared" si="17"/>
        <v>ARCH2027</v>
      </c>
      <c r="AP16" s="81" t="s">
        <v>98</v>
      </c>
      <c r="AQ16" s="43" t="s">
        <v>109</v>
      </c>
      <c r="AR16" s="81" t="s">
        <v>99</v>
      </c>
      <c r="AS16" s="221" t="str">
        <f t="shared" si="18"/>
        <v>GRDE2045</v>
      </c>
      <c r="AT16" s="81" t="s">
        <v>96</v>
      </c>
      <c r="AU16" s="221" t="str">
        <f t="shared" si="19"/>
        <v>GRDE2045</v>
      </c>
      <c r="AV16" s="81" t="s">
        <v>97</v>
      </c>
      <c r="AW16" s="221" t="str">
        <f t="shared" si="20"/>
        <v>GRDE2045</v>
      </c>
      <c r="AX16" s="81" t="s">
        <v>98</v>
      </c>
      <c r="AY16" s="43" t="s">
        <v>107</v>
      </c>
      <c r="AZ16" s="81" t="s">
        <v>99</v>
      </c>
      <c r="BA16" s="221" t="str">
        <f t="shared" si="21"/>
        <v>ARCH2027</v>
      </c>
      <c r="BB16" s="81" t="s">
        <v>96</v>
      </c>
      <c r="BC16" s="221" t="str">
        <f t="shared" si="22"/>
        <v>ARCH2027</v>
      </c>
      <c r="BD16" s="81" t="s">
        <v>97</v>
      </c>
      <c r="BE16" s="221" t="str">
        <f t="shared" si="23"/>
        <v>ARCH2027</v>
      </c>
    </row>
    <row r="17" spans="1:57" x14ac:dyDescent="0.25">
      <c r="A17" s="5" t="s">
        <v>110</v>
      </c>
      <c r="B17" s="60" t="s">
        <v>28</v>
      </c>
      <c r="C17" s="60" t="s">
        <v>25</v>
      </c>
      <c r="D17" s="60" t="s">
        <v>26</v>
      </c>
      <c r="E17" s="60" t="s">
        <v>27</v>
      </c>
      <c r="H17"/>
      <c r="I17" s="14">
        <v>15</v>
      </c>
      <c r="J17" s="53" t="s">
        <v>98</v>
      </c>
      <c r="K17" s="225" t="s">
        <v>109</v>
      </c>
      <c r="L17" s="203" t="s">
        <v>99</v>
      </c>
      <c r="M17" s="201"/>
      <c r="N17" s="203" t="s">
        <v>96</v>
      </c>
      <c r="O17" s="201"/>
      <c r="P17" s="203" t="s">
        <v>97</v>
      </c>
      <c r="Q17" s="201"/>
      <c r="R17" s="81" t="s">
        <v>98</v>
      </c>
      <c r="S17" s="43" t="s">
        <v>85</v>
      </c>
      <c r="T17" s="81" t="s">
        <v>99</v>
      </c>
      <c r="U17" s="221" t="str">
        <f t="shared" si="9"/>
        <v>Spec</v>
      </c>
      <c r="V17" s="81" t="s">
        <v>96</v>
      </c>
      <c r="W17" s="221" t="str">
        <f t="shared" si="10"/>
        <v>Spec</v>
      </c>
      <c r="X17" s="81" t="s">
        <v>97</v>
      </c>
      <c r="Y17" s="221" t="str">
        <f t="shared" si="11"/>
        <v>Spec</v>
      </c>
      <c r="Z17" s="81" t="s">
        <v>98</v>
      </c>
      <c r="AA17" s="43" t="s">
        <v>109</v>
      </c>
      <c r="AB17" s="81" t="s">
        <v>99</v>
      </c>
      <c r="AC17" s="221" t="str">
        <f t="shared" si="12"/>
        <v>GRDE2045</v>
      </c>
      <c r="AD17" s="81" t="s">
        <v>96</v>
      </c>
      <c r="AE17" s="221" t="str">
        <f t="shared" si="13"/>
        <v>GRDE2045</v>
      </c>
      <c r="AF17" s="81" t="s">
        <v>97</v>
      </c>
      <c r="AG17" s="221" t="str">
        <f t="shared" si="14"/>
        <v>GRDE2045</v>
      </c>
      <c r="AH17" s="81" t="s">
        <v>98</v>
      </c>
      <c r="AI17" s="43" t="s">
        <v>109</v>
      </c>
      <c r="AJ17" s="81" t="s">
        <v>99</v>
      </c>
      <c r="AK17" s="221" t="str">
        <f t="shared" si="15"/>
        <v>GRDE2045</v>
      </c>
      <c r="AL17" s="81" t="s">
        <v>96</v>
      </c>
      <c r="AM17" s="221" t="str">
        <f t="shared" si="16"/>
        <v>GRDE2045</v>
      </c>
      <c r="AN17" s="81" t="s">
        <v>97</v>
      </c>
      <c r="AO17" s="221" t="str">
        <f t="shared" si="17"/>
        <v>GRDE2045</v>
      </c>
      <c r="AP17" s="81" t="s">
        <v>98</v>
      </c>
      <c r="AQ17" s="43" t="s">
        <v>85</v>
      </c>
      <c r="AR17" s="81" t="s">
        <v>99</v>
      </c>
      <c r="AS17" s="221" t="str">
        <f t="shared" si="18"/>
        <v>Spec</v>
      </c>
      <c r="AT17" s="81" t="s">
        <v>96</v>
      </c>
      <c r="AU17" s="221" t="str">
        <f t="shared" si="19"/>
        <v>Spec</v>
      </c>
      <c r="AV17" s="81" t="s">
        <v>97</v>
      </c>
      <c r="AW17" s="221" t="str">
        <f t="shared" si="20"/>
        <v>Spec</v>
      </c>
      <c r="AX17" s="81" t="s">
        <v>98</v>
      </c>
      <c r="AY17" s="43" t="s">
        <v>109</v>
      </c>
      <c r="AZ17" s="81" t="s">
        <v>99</v>
      </c>
      <c r="BA17" s="221" t="str">
        <f t="shared" si="21"/>
        <v>GRDE2045</v>
      </c>
      <c r="BB17" s="81" t="s">
        <v>96</v>
      </c>
      <c r="BC17" s="221" t="str">
        <f t="shared" si="22"/>
        <v>GRDE2045</v>
      </c>
      <c r="BD17" s="81" t="s">
        <v>97</v>
      </c>
      <c r="BE17" s="221" t="str">
        <f t="shared" si="23"/>
        <v>GRDE2045</v>
      </c>
    </row>
    <row r="18" spans="1:57" x14ac:dyDescent="0.25">
      <c r="A18" s="5"/>
      <c r="F18" s="13"/>
      <c r="G18" s="13"/>
      <c r="H18"/>
      <c r="I18" s="14">
        <v>16</v>
      </c>
      <c r="J18" s="53" t="s">
        <v>99</v>
      </c>
      <c r="K18" s="225" t="s">
        <v>85</v>
      </c>
      <c r="L18" s="203" t="s">
        <v>96</v>
      </c>
      <c r="M18" s="201"/>
      <c r="N18" s="203" t="s">
        <v>97</v>
      </c>
      <c r="O18" s="201"/>
      <c r="P18" s="203" t="s">
        <v>98</v>
      </c>
      <c r="Q18" s="201"/>
      <c r="R18" s="81" t="s">
        <v>99</v>
      </c>
      <c r="S18" s="43" t="s">
        <v>85</v>
      </c>
      <c r="T18" s="81" t="s">
        <v>96</v>
      </c>
      <c r="U18" s="221" t="str">
        <f t="shared" si="9"/>
        <v>Spec</v>
      </c>
      <c r="V18" s="81" t="s">
        <v>97</v>
      </c>
      <c r="W18" s="221" t="str">
        <f t="shared" si="10"/>
        <v>Spec</v>
      </c>
      <c r="X18" s="81" t="s">
        <v>98</v>
      </c>
      <c r="Y18" s="221" t="str">
        <f t="shared" si="11"/>
        <v>Spec</v>
      </c>
      <c r="Z18" s="81" t="s">
        <v>99</v>
      </c>
      <c r="AA18" s="43" t="s">
        <v>85</v>
      </c>
      <c r="AB18" s="81" t="s">
        <v>96</v>
      </c>
      <c r="AC18" s="221" t="str">
        <f t="shared" si="12"/>
        <v>Spec</v>
      </c>
      <c r="AD18" s="81" t="s">
        <v>97</v>
      </c>
      <c r="AE18" s="221" t="str">
        <f t="shared" si="13"/>
        <v>Spec</v>
      </c>
      <c r="AF18" s="81" t="s">
        <v>98</v>
      </c>
      <c r="AG18" s="221" t="str">
        <f t="shared" si="14"/>
        <v>Spec</v>
      </c>
      <c r="AH18" s="81" t="s">
        <v>99</v>
      </c>
      <c r="AI18" s="43" t="s">
        <v>85</v>
      </c>
      <c r="AJ18" s="81" t="s">
        <v>96</v>
      </c>
      <c r="AK18" s="221" t="str">
        <f t="shared" si="15"/>
        <v>Spec</v>
      </c>
      <c r="AL18" s="81" t="s">
        <v>97</v>
      </c>
      <c r="AM18" s="221" t="str">
        <f t="shared" si="16"/>
        <v>Spec</v>
      </c>
      <c r="AN18" s="81" t="s">
        <v>98</v>
      </c>
      <c r="AO18" s="221" t="str">
        <f t="shared" si="17"/>
        <v>Spec</v>
      </c>
      <c r="AP18" s="81" t="s">
        <v>99</v>
      </c>
      <c r="AQ18" s="43" t="s">
        <v>85</v>
      </c>
      <c r="AR18" s="81" t="s">
        <v>96</v>
      </c>
      <c r="AS18" s="221" t="str">
        <f t="shared" si="18"/>
        <v>Spec</v>
      </c>
      <c r="AT18" s="81" t="s">
        <v>97</v>
      </c>
      <c r="AU18" s="221" t="str">
        <f t="shared" si="19"/>
        <v>Spec</v>
      </c>
      <c r="AV18" s="81" t="s">
        <v>98</v>
      </c>
      <c r="AW18" s="221" t="str">
        <f t="shared" si="20"/>
        <v>Spec</v>
      </c>
      <c r="AX18" s="81" t="s">
        <v>99</v>
      </c>
      <c r="AY18" s="43" t="s">
        <v>85</v>
      </c>
      <c r="AZ18" s="81" t="s">
        <v>96</v>
      </c>
      <c r="BA18" s="221" t="str">
        <f t="shared" si="21"/>
        <v>Spec</v>
      </c>
      <c r="BB18" s="81" t="s">
        <v>97</v>
      </c>
      <c r="BC18" s="221" t="str">
        <f t="shared" si="22"/>
        <v>Spec</v>
      </c>
      <c r="BD18" s="81" t="s">
        <v>98</v>
      </c>
      <c r="BE18" s="221" t="str">
        <f t="shared" si="23"/>
        <v>Spec</v>
      </c>
    </row>
    <row r="19" spans="1:57" x14ac:dyDescent="0.25">
      <c r="A19" s="164" t="s">
        <v>111</v>
      </c>
      <c r="E19" s="13"/>
      <c r="H19"/>
      <c r="I19" s="14">
        <v>17</v>
      </c>
      <c r="J19" s="54" t="s">
        <v>99</v>
      </c>
      <c r="K19" s="225" t="s">
        <v>85</v>
      </c>
      <c r="L19" s="204" t="s">
        <v>96</v>
      </c>
      <c r="M19" s="201"/>
      <c r="N19" s="204" t="s">
        <v>97</v>
      </c>
      <c r="O19" s="201"/>
      <c r="P19" s="204" t="s">
        <v>98</v>
      </c>
      <c r="Q19" s="201"/>
      <c r="R19" s="82" t="s">
        <v>99</v>
      </c>
      <c r="S19" s="43" t="s">
        <v>85</v>
      </c>
      <c r="T19" s="82" t="s">
        <v>96</v>
      </c>
      <c r="U19" s="221" t="str">
        <f t="shared" si="9"/>
        <v>Spec</v>
      </c>
      <c r="V19" s="82" t="s">
        <v>97</v>
      </c>
      <c r="W19" s="221" t="str">
        <f t="shared" si="10"/>
        <v>Spec</v>
      </c>
      <c r="X19" s="82" t="s">
        <v>98</v>
      </c>
      <c r="Y19" s="221" t="str">
        <f t="shared" si="11"/>
        <v>Spec</v>
      </c>
      <c r="Z19" s="82" t="s">
        <v>99</v>
      </c>
      <c r="AA19" s="43" t="s">
        <v>85</v>
      </c>
      <c r="AB19" s="82" t="s">
        <v>96</v>
      </c>
      <c r="AC19" s="221" t="str">
        <f t="shared" si="12"/>
        <v>Spec</v>
      </c>
      <c r="AD19" s="82" t="s">
        <v>97</v>
      </c>
      <c r="AE19" s="221" t="str">
        <f t="shared" si="13"/>
        <v>Spec</v>
      </c>
      <c r="AF19" s="82" t="s">
        <v>98</v>
      </c>
      <c r="AG19" s="221" t="str">
        <f t="shared" si="14"/>
        <v>Spec</v>
      </c>
      <c r="AH19" s="82" t="s">
        <v>99</v>
      </c>
      <c r="AI19" s="43" t="s">
        <v>85</v>
      </c>
      <c r="AJ19" s="82" t="s">
        <v>96</v>
      </c>
      <c r="AK19" s="221" t="str">
        <f t="shared" si="15"/>
        <v>Spec</v>
      </c>
      <c r="AL19" s="82" t="s">
        <v>97</v>
      </c>
      <c r="AM19" s="221" t="str">
        <f t="shared" si="16"/>
        <v>Spec</v>
      </c>
      <c r="AN19" s="82" t="s">
        <v>98</v>
      </c>
      <c r="AO19" s="221" t="str">
        <f t="shared" si="17"/>
        <v>Spec</v>
      </c>
      <c r="AP19" s="82" t="s">
        <v>99</v>
      </c>
      <c r="AQ19" s="43" t="s">
        <v>85</v>
      </c>
      <c r="AR19" s="82" t="s">
        <v>96</v>
      </c>
      <c r="AS19" s="221" t="str">
        <f t="shared" si="18"/>
        <v>Spec</v>
      </c>
      <c r="AT19" s="82" t="s">
        <v>97</v>
      </c>
      <c r="AU19" s="221" t="str">
        <f t="shared" si="19"/>
        <v>Spec</v>
      </c>
      <c r="AV19" s="82" t="s">
        <v>98</v>
      </c>
      <c r="AW19" s="221" t="str">
        <f t="shared" si="20"/>
        <v>Spec</v>
      </c>
      <c r="AX19" s="82" t="s">
        <v>99</v>
      </c>
      <c r="AY19" s="43" t="s">
        <v>85</v>
      </c>
      <c r="AZ19" s="82" t="s">
        <v>96</v>
      </c>
      <c r="BA19" s="221" t="str">
        <f t="shared" si="21"/>
        <v>Spec</v>
      </c>
      <c r="BB19" s="82" t="s">
        <v>97</v>
      </c>
      <c r="BC19" s="221" t="str">
        <f t="shared" si="22"/>
        <v>Spec</v>
      </c>
      <c r="BD19" s="82" t="s">
        <v>98</v>
      </c>
      <c r="BE19" s="221" t="str">
        <f t="shared" si="23"/>
        <v>Spec</v>
      </c>
    </row>
    <row r="20" spans="1:57" x14ac:dyDescent="0.25">
      <c r="A20" s="5" t="s">
        <v>39</v>
      </c>
      <c r="B20" s="8" t="s">
        <v>0</v>
      </c>
      <c r="C20" s="5" t="s">
        <v>76</v>
      </c>
      <c r="D20" s="5" t="s">
        <v>77</v>
      </c>
      <c r="E20" s="5" t="s">
        <v>78</v>
      </c>
      <c r="F20" s="5" t="s">
        <v>79</v>
      </c>
      <c r="H20"/>
      <c r="I20" s="14">
        <v>18</v>
      </c>
      <c r="J20" s="52" t="s">
        <v>112</v>
      </c>
      <c r="K20" s="224" t="s">
        <v>113</v>
      </c>
      <c r="L20" s="52" t="s">
        <v>114</v>
      </c>
      <c r="M20" s="86"/>
      <c r="N20" s="52" t="s">
        <v>115</v>
      </c>
      <c r="O20" s="86"/>
      <c r="P20" s="52" t="s">
        <v>116</v>
      </c>
      <c r="Q20" s="86"/>
      <c r="R20" s="80" t="s">
        <v>112</v>
      </c>
      <c r="S20" s="42" t="s">
        <v>113</v>
      </c>
      <c r="T20" s="80" t="s">
        <v>114</v>
      </c>
      <c r="U20" s="220" t="str">
        <f t="shared" si="9"/>
        <v>URDE3011</v>
      </c>
      <c r="V20" s="80" t="s">
        <v>115</v>
      </c>
      <c r="W20" s="220" t="str">
        <f t="shared" si="10"/>
        <v>URDE3011</v>
      </c>
      <c r="X20" s="80" t="s">
        <v>116</v>
      </c>
      <c r="Y20" s="220" t="str">
        <f t="shared" si="11"/>
        <v>URDE3011</v>
      </c>
      <c r="Z20" s="80" t="s">
        <v>112</v>
      </c>
      <c r="AA20" s="42" t="s">
        <v>113</v>
      </c>
      <c r="AB20" s="80" t="s">
        <v>114</v>
      </c>
      <c r="AC20" s="220" t="str">
        <f>AA20</f>
        <v>URDE3011</v>
      </c>
      <c r="AD20" s="80" t="s">
        <v>115</v>
      </c>
      <c r="AE20" s="220" t="str">
        <f>AC20</f>
        <v>URDE3011</v>
      </c>
      <c r="AF20" s="80" t="s">
        <v>116</v>
      </c>
      <c r="AG20" s="220" t="str">
        <f>AE20</f>
        <v>URDE3011</v>
      </c>
      <c r="AH20" s="80" t="s">
        <v>112</v>
      </c>
      <c r="AI20" s="42" t="s">
        <v>113</v>
      </c>
      <c r="AJ20" s="80" t="s">
        <v>114</v>
      </c>
      <c r="AK20" s="220" t="str">
        <f>AI20</f>
        <v>URDE3011</v>
      </c>
      <c r="AL20" s="80" t="s">
        <v>115</v>
      </c>
      <c r="AM20" s="220" t="str">
        <f>AK20</f>
        <v>URDE3011</v>
      </c>
      <c r="AN20" s="80" t="s">
        <v>116</v>
      </c>
      <c r="AO20" s="220" t="str">
        <f>AM20</f>
        <v>URDE3011</v>
      </c>
      <c r="AP20" s="80" t="s">
        <v>112</v>
      </c>
      <c r="AQ20" s="42" t="s">
        <v>113</v>
      </c>
      <c r="AR20" s="80" t="s">
        <v>114</v>
      </c>
      <c r="AS20" s="220" t="str">
        <f>AQ20</f>
        <v>URDE3011</v>
      </c>
      <c r="AT20" s="80" t="s">
        <v>115</v>
      </c>
      <c r="AU20" s="220" t="str">
        <f>AS20</f>
        <v>URDE3011</v>
      </c>
      <c r="AV20" s="80" t="s">
        <v>116</v>
      </c>
      <c r="AW20" s="220" t="str">
        <f>AU20</f>
        <v>URDE3011</v>
      </c>
      <c r="AX20" s="80" t="s">
        <v>112</v>
      </c>
      <c r="AY20" s="42" t="s">
        <v>113</v>
      </c>
      <c r="AZ20" s="80" t="s">
        <v>114</v>
      </c>
      <c r="BA20" s="220" t="str">
        <f>AY20</f>
        <v>URDE3011</v>
      </c>
      <c r="BB20" s="80" t="s">
        <v>115</v>
      </c>
      <c r="BC20" s="220" t="str">
        <f>BA20</f>
        <v>URDE3011</v>
      </c>
      <c r="BD20" s="80" t="s">
        <v>116</v>
      </c>
      <c r="BE20" s="220" t="str">
        <f>BC20</f>
        <v>URDE3011</v>
      </c>
    </row>
    <row r="21" spans="1:57" x14ac:dyDescent="0.25">
      <c r="A21" s="5" t="s">
        <v>14</v>
      </c>
      <c r="B21" s="178" t="s">
        <v>117</v>
      </c>
      <c r="C21" s="4" t="s">
        <v>82</v>
      </c>
      <c r="D21" s="4" t="s">
        <v>118</v>
      </c>
      <c r="E21" s="174">
        <v>44562</v>
      </c>
      <c r="F21" s="174">
        <v>44562</v>
      </c>
      <c r="I21" s="14">
        <v>19</v>
      </c>
      <c r="J21" s="53" t="s">
        <v>112</v>
      </c>
      <c r="K21" s="225" t="s">
        <v>119</v>
      </c>
      <c r="L21" s="53" t="s">
        <v>114</v>
      </c>
      <c r="M21" s="87"/>
      <c r="N21" s="53" t="s">
        <v>115</v>
      </c>
      <c r="O21" s="87"/>
      <c r="P21" s="53" t="s">
        <v>116</v>
      </c>
      <c r="Q21" s="87"/>
      <c r="R21" s="81" t="s">
        <v>112</v>
      </c>
      <c r="S21" s="43" t="s">
        <v>119</v>
      </c>
      <c r="T21" s="81" t="s">
        <v>114</v>
      </c>
      <c r="U21" s="221" t="str">
        <f t="shared" si="9"/>
        <v>INAR2025</v>
      </c>
      <c r="V21" s="81" t="s">
        <v>115</v>
      </c>
      <c r="W21" s="221" t="str">
        <f t="shared" si="10"/>
        <v>INAR2025</v>
      </c>
      <c r="X21" s="81" t="s">
        <v>116</v>
      </c>
      <c r="Y21" s="221" t="str">
        <f t="shared" si="11"/>
        <v>INAR2025</v>
      </c>
      <c r="Z21" s="81" t="s">
        <v>112</v>
      </c>
      <c r="AA21" s="43" t="s">
        <v>119</v>
      </c>
      <c r="AB21" s="81" t="s">
        <v>114</v>
      </c>
      <c r="AC21" s="221" t="str">
        <f t="shared" ref="AC21:AC35" si="24">AA21</f>
        <v>INAR2025</v>
      </c>
      <c r="AD21" s="81" t="s">
        <v>115</v>
      </c>
      <c r="AE21" s="221" t="str">
        <f t="shared" ref="AE21:AE35" si="25">AC21</f>
        <v>INAR2025</v>
      </c>
      <c r="AF21" s="81" t="s">
        <v>116</v>
      </c>
      <c r="AG21" s="221" t="str">
        <f t="shared" ref="AG21:AG35" si="26">AE21</f>
        <v>INAR2025</v>
      </c>
      <c r="AH21" s="81" t="s">
        <v>112</v>
      </c>
      <c r="AI21" s="43" t="s">
        <v>119</v>
      </c>
      <c r="AJ21" s="81" t="s">
        <v>114</v>
      </c>
      <c r="AK21" s="221" t="str">
        <f t="shared" ref="AK21:AK35" si="27">AI21</f>
        <v>INAR2025</v>
      </c>
      <c r="AL21" s="81" t="s">
        <v>115</v>
      </c>
      <c r="AM21" s="221" t="str">
        <f t="shared" ref="AM21:AM35" si="28">AK21</f>
        <v>INAR2025</v>
      </c>
      <c r="AN21" s="81" t="s">
        <v>116</v>
      </c>
      <c r="AO21" s="221" t="str">
        <f t="shared" ref="AO21:AO35" si="29">AM21</f>
        <v>INAR2025</v>
      </c>
      <c r="AP21" s="81" t="s">
        <v>112</v>
      </c>
      <c r="AQ21" s="43" t="s">
        <v>119</v>
      </c>
      <c r="AR21" s="81" t="s">
        <v>114</v>
      </c>
      <c r="AS21" s="221" t="str">
        <f t="shared" ref="AS21:AS35" si="30">AQ21</f>
        <v>INAR2025</v>
      </c>
      <c r="AT21" s="81" t="s">
        <v>115</v>
      </c>
      <c r="AU21" s="221" t="str">
        <f t="shared" ref="AU21:AU35" si="31">AS21</f>
        <v>INAR2025</v>
      </c>
      <c r="AV21" s="81" t="s">
        <v>116</v>
      </c>
      <c r="AW21" s="221" t="str">
        <f t="shared" ref="AW21:AW35" si="32">AU21</f>
        <v>INAR2025</v>
      </c>
      <c r="AX21" s="81" t="s">
        <v>112</v>
      </c>
      <c r="AY21" s="43" t="s">
        <v>119</v>
      </c>
      <c r="AZ21" s="81" t="s">
        <v>114</v>
      </c>
      <c r="BA21" s="221" t="str">
        <f t="shared" ref="BA21:BA35" si="33">AY21</f>
        <v>INAR2025</v>
      </c>
      <c r="BB21" s="81" t="s">
        <v>115</v>
      </c>
      <c r="BC21" s="221" t="str">
        <f t="shared" ref="BC21:BC35" si="34">BA21</f>
        <v>INAR2025</v>
      </c>
      <c r="BD21" s="81" t="s">
        <v>116</v>
      </c>
      <c r="BE21" s="221" t="str">
        <f t="shared" ref="BE21:BE35" si="35">BC21</f>
        <v>INAR2025</v>
      </c>
    </row>
    <row r="22" spans="1:57" x14ac:dyDescent="0.25">
      <c r="A22" s="255" t="s">
        <v>120</v>
      </c>
      <c r="B22" s="223" t="s">
        <v>121</v>
      </c>
      <c r="C22" s="4" t="s">
        <v>82</v>
      </c>
      <c r="D22" s="4" t="s">
        <v>118</v>
      </c>
      <c r="E22" s="170">
        <v>45292</v>
      </c>
      <c r="F22" s="170">
        <v>45292</v>
      </c>
      <c r="G22"/>
      <c r="I22" s="14">
        <v>20</v>
      </c>
      <c r="J22" s="53" t="s">
        <v>114</v>
      </c>
      <c r="K22" s="225" t="s">
        <v>122</v>
      </c>
      <c r="L22" s="53" t="s">
        <v>115</v>
      </c>
      <c r="M22" s="87"/>
      <c r="N22" s="53" t="s">
        <v>116</v>
      </c>
      <c r="O22" s="87"/>
      <c r="P22" s="53" t="s">
        <v>112</v>
      </c>
      <c r="Q22" s="87"/>
      <c r="R22" s="81" t="s">
        <v>114</v>
      </c>
      <c r="S22" s="43" t="s">
        <v>122</v>
      </c>
      <c r="T22" s="81" t="s">
        <v>115</v>
      </c>
      <c r="U22" s="221" t="str">
        <f t="shared" si="9"/>
        <v>ARCH3015</v>
      </c>
      <c r="V22" s="81" t="s">
        <v>116</v>
      </c>
      <c r="W22" s="221" t="str">
        <f t="shared" si="10"/>
        <v>ARCH3015</v>
      </c>
      <c r="X22" s="81" t="s">
        <v>112</v>
      </c>
      <c r="Y22" s="221" t="str">
        <f t="shared" si="11"/>
        <v>ARCH3015</v>
      </c>
      <c r="Z22" s="81" t="s">
        <v>114</v>
      </c>
      <c r="AA22" s="43" t="s">
        <v>122</v>
      </c>
      <c r="AB22" s="81" t="s">
        <v>115</v>
      </c>
      <c r="AC22" s="221" t="str">
        <f t="shared" si="24"/>
        <v>ARCH3015</v>
      </c>
      <c r="AD22" s="81" t="s">
        <v>116</v>
      </c>
      <c r="AE22" s="221" t="str">
        <f t="shared" si="25"/>
        <v>ARCH3015</v>
      </c>
      <c r="AF22" s="81" t="s">
        <v>112</v>
      </c>
      <c r="AG22" s="221" t="str">
        <f t="shared" si="26"/>
        <v>ARCH3015</v>
      </c>
      <c r="AH22" s="81" t="s">
        <v>114</v>
      </c>
      <c r="AI22" s="43" t="s">
        <v>122</v>
      </c>
      <c r="AJ22" s="81" t="s">
        <v>115</v>
      </c>
      <c r="AK22" s="221" t="str">
        <f t="shared" si="27"/>
        <v>ARCH3015</v>
      </c>
      <c r="AL22" s="81" t="s">
        <v>116</v>
      </c>
      <c r="AM22" s="221" t="str">
        <f t="shared" si="28"/>
        <v>ARCH3015</v>
      </c>
      <c r="AN22" s="81" t="s">
        <v>112</v>
      </c>
      <c r="AO22" s="221" t="str">
        <f t="shared" si="29"/>
        <v>ARCH3015</v>
      </c>
      <c r="AP22" s="81" t="s">
        <v>114</v>
      </c>
      <c r="AQ22" s="43" t="s">
        <v>122</v>
      </c>
      <c r="AR22" s="81" t="s">
        <v>115</v>
      </c>
      <c r="AS22" s="221" t="str">
        <f t="shared" si="30"/>
        <v>ARCH3015</v>
      </c>
      <c r="AT22" s="81" t="s">
        <v>116</v>
      </c>
      <c r="AU22" s="221" t="str">
        <f t="shared" si="31"/>
        <v>ARCH3015</v>
      </c>
      <c r="AV22" s="81" t="s">
        <v>112</v>
      </c>
      <c r="AW22" s="221" t="str">
        <f t="shared" si="32"/>
        <v>ARCH3015</v>
      </c>
      <c r="AX22" s="81" t="s">
        <v>114</v>
      </c>
      <c r="AY22" s="43" t="s">
        <v>122</v>
      </c>
      <c r="AZ22" s="81" t="s">
        <v>115</v>
      </c>
      <c r="BA22" s="221" t="str">
        <f t="shared" si="33"/>
        <v>ARCH3015</v>
      </c>
      <c r="BB22" s="81" t="s">
        <v>116</v>
      </c>
      <c r="BC22" s="221" t="str">
        <f t="shared" si="34"/>
        <v>ARCH3015</v>
      </c>
      <c r="BD22" s="81" t="s">
        <v>112</v>
      </c>
      <c r="BE22" s="221" t="str">
        <f t="shared" si="35"/>
        <v>ARCH3015</v>
      </c>
    </row>
    <row r="23" spans="1:57" x14ac:dyDescent="0.25">
      <c r="A23" s="5" t="s">
        <v>123</v>
      </c>
      <c r="B23" s="178" t="s">
        <v>124</v>
      </c>
      <c r="C23" s="4" t="s">
        <v>82</v>
      </c>
      <c r="D23" s="4" t="s">
        <v>118</v>
      </c>
      <c r="E23" s="174">
        <v>44378</v>
      </c>
      <c r="F23" s="174">
        <v>44378</v>
      </c>
      <c r="G23"/>
      <c r="I23" s="14">
        <v>21</v>
      </c>
      <c r="J23" s="53" t="s">
        <v>114</v>
      </c>
      <c r="K23" s="225" t="s">
        <v>125</v>
      </c>
      <c r="L23" s="53" t="s">
        <v>115</v>
      </c>
      <c r="M23" s="87"/>
      <c r="N23" s="53" t="s">
        <v>116</v>
      </c>
      <c r="O23" s="87"/>
      <c r="P23" s="53" t="s">
        <v>112</v>
      </c>
      <c r="Q23" s="87"/>
      <c r="R23" s="81" t="s">
        <v>114</v>
      </c>
      <c r="S23" s="43" t="s">
        <v>125</v>
      </c>
      <c r="T23" s="81" t="s">
        <v>115</v>
      </c>
      <c r="U23" s="221" t="str">
        <f t="shared" si="9"/>
        <v>INAR3021</v>
      </c>
      <c r="V23" s="81" t="s">
        <v>116</v>
      </c>
      <c r="W23" s="221" t="str">
        <f t="shared" si="10"/>
        <v>INAR3021</v>
      </c>
      <c r="X23" s="81" t="s">
        <v>112</v>
      </c>
      <c r="Y23" s="221" t="str">
        <f t="shared" si="11"/>
        <v>INAR3021</v>
      </c>
      <c r="Z23" s="81" t="s">
        <v>114</v>
      </c>
      <c r="AA23" s="43" t="s">
        <v>125</v>
      </c>
      <c r="AB23" s="81" t="s">
        <v>115</v>
      </c>
      <c r="AC23" s="221" t="str">
        <f t="shared" si="24"/>
        <v>INAR3021</v>
      </c>
      <c r="AD23" s="81" t="s">
        <v>116</v>
      </c>
      <c r="AE23" s="221" t="str">
        <f t="shared" si="25"/>
        <v>INAR3021</v>
      </c>
      <c r="AF23" s="81" t="s">
        <v>112</v>
      </c>
      <c r="AG23" s="221" t="str">
        <f t="shared" si="26"/>
        <v>INAR3021</v>
      </c>
      <c r="AH23" s="81" t="s">
        <v>114</v>
      </c>
      <c r="AI23" s="43" t="s">
        <v>125</v>
      </c>
      <c r="AJ23" s="81" t="s">
        <v>115</v>
      </c>
      <c r="AK23" s="221" t="str">
        <f t="shared" si="27"/>
        <v>INAR3021</v>
      </c>
      <c r="AL23" s="81" t="s">
        <v>116</v>
      </c>
      <c r="AM23" s="221" t="str">
        <f t="shared" si="28"/>
        <v>INAR3021</v>
      </c>
      <c r="AN23" s="81" t="s">
        <v>112</v>
      </c>
      <c r="AO23" s="221" t="str">
        <f t="shared" si="29"/>
        <v>INAR3021</v>
      </c>
      <c r="AP23" s="81" t="s">
        <v>114</v>
      </c>
      <c r="AQ23" s="43" t="s">
        <v>125</v>
      </c>
      <c r="AR23" s="81" t="s">
        <v>115</v>
      </c>
      <c r="AS23" s="221" t="str">
        <f t="shared" si="30"/>
        <v>INAR3021</v>
      </c>
      <c r="AT23" s="81" t="s">
        <v>116</v>
      </c>
      <c r="AU23" s="221" t="str">
        <f t="shared" si="31"/>
        <v>INAR3021</v>
      </c>
      <c r="AV23" s="81" t="s">
        <v>112</v>
      </c>
      <c r="AW23" s="221" t="str">
        <f t="shared" si="32"/>
        <v>INAR3021</v>
      </c>
      <c r="AX23" s="81" t="s">
        <v>114</v>
      </c>
      <c r="AY23" s="43" t="s">
        <v>125</v>
      </c>
      <c r="AZ23" s="81" t="s">
        <v>115</v>
      </c>
      <c r="BA23" s="221" t="str">
        <f t="shared" si="33"/>
        <v>INAR3021</v>
      </c>
      <c r="BB23" s="81" t="s">
        <v>116</v>
      </c>
      <c r="BC23" s="221" t="str">
        <f t="shared" si="34"/>
        <v>INAR3021</v>
      </c>
      <c r="BD23" s="81" t="s">
        <v>112</v>
      </c>
      <c r="BE23" s="221" t="str">
        <f t="shared" si="35"/>
        <v>INAR3021</v>
      </c>
    </row>
    <row r="24" spans="1:57" x14ac:dyDescent="0.25">
      <c r="A24" s="5" t="s">
        <v>126</v>
      </c>
      <c r="B24" s="178" t="s">
        <v>127</v>
      </c>
      <c r="C24" s="4" t="s">
        <v>82</v>
      </c>
      <c r="D24" s="4" t="s">
        <v>118</v>
      </c>
      <c r="E24" s="170">
        <v>45292</v>
      </c>
      <c r="F24" s="170">
        <v>45292</v>
      </c>
      <c r="G24"/>
      <c r="I24" s="14">
        <v>22</v>
      </c>
      <c r="J24" s="53" t="s">
        <v>115</v>
      </c>
      <c r="K24" s="225" t="s">
        <v>128</v>
      </c>
      <c r="L24" s="53" t="s">
        <v>116</v>
      </c>
      <c r="M24" s="87"/>
      <c r="N24" s="53" t="s">
        <v>112</v>
      </c>
      <c r="O24" s="87"/>
      <c r="P24" s="53" t="s">
        <v>114</v>
      </c>
      <c r="Q24" s="87"/>
      <c r="R24" s="81" t="s">
        <v>115</v>
      </c>
      <c r="S24" s="43" t="s">
        <v>128</v>
      </c>
      <c r="T24" s="81" t="s">
        <v>116</v>
      </c>
      <c r="U24" s="221" t="str">
        <f t="shared" si="9"/>
        <v>INAR3012</v>
      </c>
      <c r="V24" s="81" t="s">
        <v>112</v>
      </c>
      <c r="W24" s="221" t="str">
        <f t="shared" si="10"/>
        <v>INAR3012</v>
      </c>
      <c r="X24" s="81" t="s">
        <v>114</v>
      </c>
      <c r="Y24" s="221" t="str">
        <f t="shared" si="11"/>
        <v>INAR3012</v>
      </c>
      <c r="Z24" s="81" t="s">
        <v>115</v>
      </c>
      <c r="AA24" s="43" t="s">
        <v>128</v>
      </c>
      <c r="AB24" s="81" t="s">
        <v>116</v>
      </c>
      <c r="AC24" s="221" t="str">
        <f t="shared" si="24"/>
        <v>INAR3012</v>
      </c>
      <c r="AD24" s="81" t="s">
        <v>112</v>
      </c>
      <c r="AE24" s="221" t="str">
        <f t="shared" si="25"/>
        <v>INAR3012</v>
      </c>
      <c r="AF24" s="81" t="s">
        <v>114</v>
      </c>
      <c r="AG24" s="221" t="str">
        <f t="shared" si="26"/>
        <v>INAR3012</v>
      </c>
      <c r="AH24" s="81" t="s">
        <v>115</v>
      </c>
      <c r="AI24" s="43" t="s">
        <v>128</v>
      </c>
      <c r="AJ24" s="81" t="s">
        <v>116</v>
      </c>
      <c r="AK24" s="221" t="str">
        <f t="shared" si="27"/>
        <v>INAR3012</v>
      </c>
      <c r="AL24" s="81" t="s">
        <v>112</v>
      </c>
      <c r="AM24" s="221" t="str">
        <f t="shared" si="28"/>
        <v>INAR3012</v>
      </c>
      <c r="AN24" s="81" t="s">
        <v>114</v>
      </c>
      <c r="AO24" s="221" t="str">
        <f t="shared" si="29"/>
        <v>INAR3012</v>
      </c>
      <c r="AP24" s="81" t="s">
        <v>115</v>
      </c>
      <c r="AQ24" s="43" t="s">
        <v>128</v>
      </c>
      <c r="AR24" s="81" t="s">
        <v>116</v>
      </c>
      <c r="AS24" s="221" t="str">
        <f t="shared" si="30"/>
        <v>INAR3012</v>
      </c>
      <c r="AT24" s="81" t="s">
        <v>112</v>
      </c>
      <c r="AU24" s="221" t="str">
        <f t="shared" si="31"/>
        <v>INAR3012</v>
      </c>
      <c r="AV24" s="81" t="s">
        <v>114</v>
      </c>
      <c r="AW24" s="221" t="str">
        <f t="shared" si="32"/>
        <v>INAR3012</v>
      </c>
      <c r="AX24" s="81" t="s">
        <v>115</v>
      </c>
      <c r="AY24" s="43" t="s">
        <v>128</v>
      </c>
      <c r="AZ24" s="81" t="s">
        <v>116</v>
      </c>
      <c r="BA24" s="221" t="str">
        <f t="shared" si="33"/>
        <v>INAR3012</v>
      </c>
      <c r="BB24" s="81" t="s">
        <v>112</v>
      </c>
      <c r="BC24" s="221" t="str">
        <f t="shared" si="34"/>
        <v>INAR3012</v>
      </c>
      <c r="BD24" s="81" t="s">
        <v>114</v>
      </c>
      <c r="BE24" s="221" t="str">
        <f t="shared" si="35"/>
        <v>INAR3012</v>
      </c>
    </row>
    <row r="25" spans="1:57" x14ac:dyDescent="0.25">
      <c r="A25" s="256" t="s">
        <v>129</v>
      </c>
      <c r="B25" s="223" t="s">
        <v>130</v>
      </c>
      <c r="C25" s="4" t="s">
        <v>82</v>
      </c>
      <c r="D25" s="4" t="s">
        <v>118</v>
      </c>
      <c r="E25" s="174">
        <v>44743</v>
      </c>
      <c r="F25" s="174">
        <v>44743</v>
      </c>
      <c r="G25"/>
      <c r="I25" s="14">
        <v>23</v>
      </c>
      <c r="J25" s="53" t="s">
        <v>115</v>
      </c>
      <c r="K25" s="225" t="s">
        <v>131</v>
      </c>
      <c r="L25" s="53" t="s">
        <v>116</v>
      </c>
      <c r="M25" s="87"/>
      <c r="N25" s="53" t="s">
        <v>112</v>
      </c>
      <c r="O25" s="87"/>
      <c r="P25" s="53" t="s">
        <v>114</v>
      </c>
      <c r="Q25" s="87"/>
      <c r="R25" s="81" t="s">
        <v>115</v>
      </c>
      <c r="S25" s="43" t="s">
        <v>131</v>
      </c>
      <c r="T25" s="81" t="s">
        <v>116</v>
      </c>
      <c r="U25" s="221" t="str">
        <f t="shared" si="9"/>
        <v>INAR3017</v>
      </c>
      <c r="V25" s="81" t="s">
        <v>112</v>
      </c>
      <c r="W25" s="221" t="str">
        <f t="shared" si="10"/>
        <v>INAR3017</v>
      </c>
      <c r="X25" s="81" t="s">
        <v>114</v>
      </c>
      <c r="Y25" s="221" t="str">
        <f t="shared" si="11"/>
        <v>INAR3017</v>
      </c>
      <c r="Z25" s="81" t="s">
        <v>115</v>
      </c>
      <c r="AA25" s="43" t="s">
        <v>131</v>
      </c>
      <c r="AB25" s="81" t="s">
        <v>116</v>
      </c>
      <c r="AC25" s="221" t="str">
        <f t="shared" si="24"/>
        <v>INAR3017</v>
      </c>
      <c r="AD25" s="81" t="s">
        <v>112</v>
      </c>
      <c r="AE25" s="221" t="str">
        <f t="shared" si="25"/>
        <v>INAR3017</v>
      </c>
      <c r="AF25" s="81" t="s">
        <v>114</v>
      </c>
      <c r="AG25" s="221" t="str">
        <f t="shared" si="26"/>
        <v>INAR3017</v>
      </c>
      <c r="AH25" s="81" t="s">
        <v>115</v>
      </c>
      <c r="AI25" s="43" t="s">
        <v>131</v>
      </c>
      <c r="AJ25" s="81" t="s">
        <v>116</v>
      </c>
      <c r="AK25" s="221" t="str">
        <f t="shared" si="27"/>
        <v>INAR3017</v>
      </c>
      <c r="AL25" s="81" t="s">
        <v>112</v>
      </c>
      <c r="AM25" s="221" t="str">
        <f t="shared" si="28"/>
        <v>INAR3017</v>
      </c>
      <c r="AN25" s="81" t="s">
        <v>114</v>
      </c>
      <c r="AO25" s="221" t="str">
        <f t="shared" si="29"/>
        <v>INAR3017</v>
      </c>
      <c r="AP25" s="81" t="s">
        <v>115</v>
      </c>
      <c r="AQ25" s="43" t="s">
        <v>131</v>
      </c>
      <c r="AR25" s="81" t="s">
        <v>116</v>
      </c>
      <c r="AS25" s="221" t="str">
        <f t="shared" si="30"/>
        <v>INAR3017</v>
      </c>
      <c r="AT25" s="81" t="s">
        <v>112</v>
      </c>
      <c r="AU25" s="221" t="str">
        <f t="shared" si="31"/>
        <v>INAR3017</v>
      </c>
      <c r="AV25" s="81" t="s">
        <v>114</v>
      </c>
      <c r="AW25" s="221" t="str">
        <f t="shared" si="32"/>
        <v>INAR3017</v>
      </c>
      <c r="AX25" s="81" t="s">
        <v>115</v>
      </c>
      <c r="AY25" s="43" t="s">
        <v>131</v>
      </c>
      <c r="AZ25" s="81" t="s">
        <v>116</v>
      </c>
      <c r="BA25" s="221" t="str">
        <f t="shared" si="33"/>
        <v>INAR3017</v>
      </c>
      <c r="BB25" s="81" t="s">
        <v>112</v>
      </c>
      <c r="BC25" s="221" t="str">
        <f t="shared" si="34"/>
        <v>INAR3017</v>
      </c>
      <c r="BD25" s="81" t="s">
        <v>114</v>
      </c>
      <c r="BE25" s="221" t="str">
        <f t="shared" si="35"/>
        <v>INAR3017</v>
      </c>
    </row>
    <row r="26" spans="1:57" x14ac:dyDescent="0.25">
      <c r="A26"/>
      <c r="B26"/>
      <c r="C26"/>
      <c r="D26"/>
      <c r="E26"/>
      <c r="F26"/>
      <c r="G26"/>
      <c r="I26" s="14">
        <v>24</v>
      </c>
      <c r="J26" s="53" t="s">
        <v>116</v>
      </c>
      <c r="K26" s="225" t="s">
        <v>132</v>
      </c>
      <c r="L26" s="53" t="s">
        <v>112</v>
      </c>
      <c r="M26" s="87"/>
      <c r="N26" s="53" t="s">
        <v>114</v>
      </c>
      <c r="O26" s="87"/>
      <c r="P26" s="53" t="s">
        <v>115</v>
      </c>
      <c r="Q26" s="87"/>
      <c r="R26" s="81" t="s">
        <v>116</v>
      </c>
      <c r="S26" s="43" t="s">
        <v>132</v>
      </c>
      <c r="T26" s="81" t="s">
        <v>112</v>
      </c>
      <c r="U26" s="221" t="str">
        <f t="shared" si="9"/>
        <v>INAR3023</v>
      </c>
      <c r="V26" s="81" t="s">
        <v>114</v>
      </c>
      <c r="W26" s="221" t="str">
        <f t="shared" si="10"/>
        <v>INAR3023</v>
      </c>
      <c r="X26" s="81" t="s">
        <v>115</v>
      </c>
      <c r="Y26" s="221" t="str">
        <f t="shared" si="11"/>
        <v>INAR3023</v>
      </c>
      <c r="Z26" s="81" t="s">
        <v>116</v>
      </c>
      <c r="AA26" s="43" t="s">
        <v>132</v>
      </c>
      <c r="AB26" s="81" t="s">
        <v>112</v>
      </c>
      <c r="AC26" s="221" t="str">
        <f t="shared" si="24"/>
        <v>INAR3023</v>
      </c>
      <c r="AD26" s="81" t="s">
        <v>114</v>
      </c>
      <c r="AE26" s="221" t="str">
        <f t="shared" si="25"/>
        <v>INAR3023</v>
      </c>
      <c r="AF26" s="81" t="s">
        <v>115</v>
      </c>
      <c r="AG26" s="221" t="str">
        <f t="shared" si="26"/>
        <v>INAR3023</v>
      </c>
      <c r="AH26" s="81" t="s">
        <v>116</v>
      </c>
      <c r="AI26" s="43" t="s">
        <v>132</v>
      </c>
      <c r="AJ26" s="81" t="s">
        <v>112</v>
      </c>
      <c r="AK26" s="221" t="str">
        <f t="shared" si="27"/>
        <v>INAR3023</v>
      </c>
      <c r="AL26" s="81" t="s">
        <v>114</v>
      </c>
      <c r="AM26" s="221" t="str">
        <f t="shared" si="28"/>
        <v>INAR3023</v>
      </c>
      <c r="AN26" s="81" t="s">
        <v>115</v>
      </c>
      <c r="AO26" s="221" t="str">
        <f t="shared" si="29"/>
        <v>INAR3023</v>
      </c>
      <c r="AP26" s="81" t="s">
        <v>116</v>
      </c>
      <c r="AQ26" s="43" t="s">
        <v>132</v>
      </c>
      <c r="AR26" s="81" t="s">
        <v>112</v>
      </c>
      <c r="AS26" s="221" t="str">
        <f t="shared" si="30"/>
        <v>INAR3023</v>
      </c>
      <c r="AT26" s="81" t="s">
        <v>114</v>
      </c>
      <c r="AU26" s="221" t="str">
        <f t="shared" si="31"/>
        <v>INAR3023</v>
      </c>
      <c r="AV26" s="81" t="s">
        <v>115</v>
      </c>
      <c r="AW26" s="221" t="str">
        <f t="shared" si="32"/>
        <v>INAR3023</v>
      </c>
      <c r="AX26" s="81" t="s">
        <v>116</v>
      </c>
      <c r="AY26" s="43" t="s">
        <v>132</v>
      </c>
      <c r="AZ26" s="81" t="s">
        <v>112</v>
      </c>
      <c r="BA26" s="221" t="str">
        <f t="shared" si="33"/>
        <v>INAR3023</v>
      </c>
      <c r="BB26" s="81" t="s">
        <v>114</v>
      </c>
      <c r="BC26" s="221" t="str">
        <f t="shared" si="34"/>
        <v>INAR3023</v>
      </c>
      <c r="BD26" s="81" t="s">
        <v>115</v>
      </c>
      <c r="BE26" s="221" t="str">
        <f t="shared" si="35"/>
        <v>INAR3023</v>
      </c>
    </row>
    <row r="27" spans="1:57" x14ac:dyDescent="0.25">
      <c r="A27"/>
      <c r="B27"/>
      <c r="C27"/>
      <c r="D27"/>
      <c r="E27"/>
      <c r="F27"/>
      <c r="G27"/>
      <c r="I27" s="14">
        <v>25</v>
      </c>
      <c r="J27" s="54" t="s">
        <v>116</v>
      </c>
      <c r="K27" s="225" t="s">
        <v>133</v>
      </c>
      <c r="L27" s="54" t="s">
        <v>112</v>
      </c>
      <c r="M27" s="87"/>
      <c r="N27" s="54" t="s">
        <v>114</v>
      </c>
      <c r="O27" s="87"/>
      <c r="P27" s="54" t="s">
        <v>115</v>
      </c>
      <c r="Q27" s="87"/>
      <c r="R27" s="82" t="s">
        <v>116</v>
      </c>
      <c r="S27" s="43" t="s">
        <v>133</v>
      </c>
      <c r="T27" s="82" t="s">
        <v>112</v>
      </c>
      <c r="U27" s="221" t="str">
        <f t="shared" si="9"/>
        <v>INAR3025</v>
      </c>
      <c r="V27" s="82" t="s">
        <v>114</v>
      </c>
      <c r="W27" s="221" t="str">
        <f t="shared" si="10"/>
        <v>INAR3025</v>
      </c>
      <c r="X27" s="82" t="s">
        <v>115</v>
      </c>
      <c r="Y27" s="221" t="str">
        <f t="shared" si="11"/>
        <v>INAR3025</v>
      </c>
      <c r="Z27" s="82" t="s">
        <v>116</v>
      </c>
      <c r="AA27" s="43" t="s">
        <v>133</v>
      </c>
      <c r="AB27" s="82" t="s">
        <v>112</v>
      </c>
      <c r="AC27" s="221" t="str">
        <f t="shared" si="24"/>
        <v>INAR3025</v>
      </c>
      <c r="AD27" s="82" t="s">
        <v>114</v>
      </c>
      <c r="AE27" s="221" t="str">
        <f t="shared" si="25"/>
        <v>INAR3025</v>
      </c>
      <c r="AF27" s="82" t="s">
        <v>115</v>
      </c>
      <c r="AG27" s="221" t="str">
        <f t="shared" si="26"/>
        <v>INAR3025</v>
      </c>
      <c r="AH27" s="82" t="s">
        <v>116</v>
      </c>
      <c r="AI27" s="43" t="s">
        <v>133</v>
      </c>
      <c r="AJ27" s="82" t="s">
        <v>112</v>
      </c>
      <c r="AK27" s="221" t="str">
        <f t="shared" si="27"/>
        <v>INAR3025</v>
      </c>
      <c r="AL27" s="82" t="s">
        <v>114</v>
      </c>
      <c r="AM27" s="221" t="str">
        <f t="shared" si="28"/>
        <v>INAR3025</v>
      </c>
      <c r="AN27" s="82" t="s">
        <v>115</v>
      </c>
      <c r="AO27" s="221" t="str">
        <f t="shared" si="29"/>
        <v>INAR3025</v>
      </c>
      <c r="AP27" s="82" t="s">
        <v>116</v>
      </c>
      <c r="AQ27" s="43" t="s">
        <v>133</v>
      </c>
      <c r="AR27" s="82" t="s">
        <v>112</v>
      </c>
      <c r="AS27" s="221" t="str">
        <f t="shared" si="30"/>
        <v>INAR3025</v>
      </c>
      <c r="AT27" s="82" t="s">
        <v>114</v>
      </c>
      <c r="AU27" s="221" t="str">
        <f t="shared" si="31"/>
        <v>INAR3025</v>
      </c>
      <c r="AV27" s="82" t="s">
        <v>115</v>
      </c>
      <c r="AW27" s="221" t="str">
        <f t="shared" si="32"/>
        <v>INAR3025</v>
      </c>
      <c r="AX27" s="82" t="s">
        <v>116</v>
      </c>
      <c r="AY27" s="43" t="s">
        <v>133</v>
      </c>
      <c r="AZ27" s="82" t="s">
        <v>112</v>
      </c>
      <c r="BA27" s="221" t="str">
        <f t="shared" si="33"/>
        <v>INAR3025</v>
      </c>
      <c r="BB27" s="82" t="s">
        <v>114</v>
      </c>
      <c r="BC27" s="221" t="str">
        <f t="shared" si="34"/>
        <v>INAR3025</v>
      </c>
      <c r="BD27" s="82" t="s">
        <v>115</v>
      </c>
      <c r="BE27" s="221" t="str">
        <f t="shared" si="35"/>
        <v>INAR3025</v>
      </c>
    </row>
    <row r="28" spans="1:57" x14ac:dyDescent="0.25">
      <c r="A28" s="185">
        <v>45323</v>
      </c>
      <c r="B28"/>
      <c r="C28"/>
      <c r="D28"/>
      <c r="E28"/>
      <c r="F28"/>
      <c r="G28"/>
      <c r="I28" s="14">
        <v>26</v>
      </c>
      <c r="K28" s="18" t="s">
        <v>134</v>
      </c>
      <c r="L28" s="45"/>
      <c r="M28" s="18" t="s">
        <v>134</v>
      </c>
      <c r="N28" s="45"/>
      <c r="O28" s="18" t="s">
        <v>134</v>
      </c>
      <c r="P28" s="45"/>
      <c r="Q28" s="18" t="s">
        <v>134</v>
      </c>
      <c r="R28" s="80" t="s">
        <v>135</v>
      </c>
      <c r="S28" s="42" t="s">
        <v>136</v>
      </c>
      <c r="T28" s="80" t="s">
        <v>137</v>
      </c>
      <c r="U28" s="220" t="str">
        <f t="shared" si="9"/>
        <v>INAR4024</v>
      </c>
      <c r="V28" s="80" t="s">
        <v>138</v>
      </c>
      <c r="W28" s="220" t="str">
        <f t="shared" si="10"/>
        <v>INAR4024</v>
      </c>
      <c r="X28" s="80" t="s">
        <v>139</v>
      </c>
      <c r="Y28" s="220" t="str">
        <f t="shared" si="11"/>
        <v>INAR4024</v>
      </c>
      <c r="Z28" s="80" t="s">
        <v>135</v>
      </c>
      <c r="AA28" s="42" t="s">
        <v>136</v>
      </c>
      <c r="AB28" s="80" t="s">
        <v>137</v>
      </c>
      <c r="AC28" s="220" t="str">
        <f t="shared" si="24"/>
        <v>INAR4024</v>
      </c>
      <c r="AD28" s="80" t="s">
        <v>138</v>
      </c>
      <c r="AE28" s="220" t="str">
        <f t="shared" si="25"/>
        <v>INAR4024</v>
      </c>
      <c r="AF28" s="80" t="s">
        <v>139</v>
      </c>
      <c r="AG28" s="220" t="str">
        <f t="shared" si="26"/>
        <v>INAR4024</v>
      </c>
      <c r="AH28" s="80" t="s">
        <v>135</v>
      </c>
      <c r="AI28" s="42" t="s">
        <v>136</v>
      </c>
      <c r="AJ28" s="80" t="s">
        <v>137</v>
      </c>
      <c r="AK28" s="220" t="str">
        <f t="shared" si="27"/>
        <v>INAR4024</v>
      </c>
      <c r="AL28" s="80" t="s">
        <v>138</v>
      </c>
      <c r="AM28" s="220" t="str">
        <f t="shared" si="28"/>
        <v>INAR4024</v>
      </c>
      <c r="AN28" s="80" t="s">
        <v>139</v>
      </c>
      <c r="AO28" s="220" t="str">
        <f t="shared" si="29"/>
        <v>INAR4024</v>
      </c>
      <c r="AP28" s="80" t="s">
        <v>135</v>
      </c>
      <c r="AQ28" s="42" t="s">
        <v>136</v>
      </c>
      <c r="AR28" s="80" t="s">
        <v>137</v>
      </c>
      <c r="AS28" s="220" t="str">
        <f t="shared" si="30"/>
        <v>INAR4024</v>
      </c>
      <c r="AT28" s="80" t="s">
        <v>138</v>
      </c>
      <c r="AU28" s="220" t="str">
        <f t="shared" si="31"/>
        <v>INAR4024</v>
      </c>
      <c r="AV28" s="80" t="s">
        <v>139</v>
      </c>
      <c r="AW28" s="220" t="str">
        <f t="shared" si="32"/>
        <v>INAR4024</v>
      </c>
      <c r="AX28" s="80" t="s">
        <v>135</v>
      </c>
      <c r="AY28" s="42" t="s">
        <v>136</v>
      </c>
      <c r="AZ28" s="80" t="s">
        <v>137</v>
      </c>
      <c r="BA28" s="220" t="str">
        <f t="shared" si="33"/>
        <v>INAR4024</v>
      </c>
      <c r="BB28" s="80" t="s">
        <v>138</v>
      </c>
      <c r="BC28" s="220" t="str">
        <f t="shared" si="34"/>
        <v>INAR4024</v>
      </c>
      <c r="BD28" s="80" t="s">
        <v>139</v>
      </c>
      <c r="BE28" s="220" t="str">
        <f t="shared" si="35"/>
        <v>INAR4024</v>
      </c>
    </row>
    <row r="29" spans="1:57" x14ac:dyDescent="0.25">
      <c r="A29" t="s">
        <v>140</v>
      </c>
      <c r="B29"/>
      <c r="C29"/>
      <c r="D29"/>
      <c r="E29"/>
      <c r="F29"/>
      <c r="G29"/>
      <c r="H29"/>
      <c r="I29" s="14">
        <v>27</v>
      </c>
      <c r="R29" s="81" t="s">
        <v>135</v>
      </c>
      <c r="S29" s="43" t="s">
        <v>141</v>
      </c>
      <c r="T29" s="81" t="s">
        <v>137</v>
      </c>
      <c r="U29" s="221" t="str">
        <f t="shared" si="9"/>
        <v>INAR4026</v>
      </c>
      <c r="V29" s="81" t="s">
        <v>138</v>
      </c>
      <c r="W29" s="221" t="str">
        <f t="shared" si="10"/>
        <v>INAR4026</v>
      </c>
      <c r="X29" s="81" t="s">
        <v>139</v>
      </c>
      <c r="Y29" s="221" t="str">
        <f t="shared" si="11"/>
        <v>INAR4026</v>
      </c>
      <c r="Z29" s="81" t="s">
        <v>135</v>
      </c>
      <c r="AA29" s="43" t="s">
        <v>141</v>
      </c>
      <c r="AB29" s="81" t="s">
        <v>137</v>
      </c>
      <c r="AC29" s="221" t="str">
        <f t="shared" si="24"/>
        <v>INAR4026</v>
      </c>
      <c r="AD29" s="81" t="s">
        <v>138</v>
      </c>
      <c r="AE29" s="221" t="str">
        <f t="shared" si="25"/>
        <v>INAR4026</v>
      </c>
      <c r="AF29" s="81" t="s">
        <v>139</v>
      </c>
      <c r="AG29" s="221" t="str">
        <f t="shared" si="26"/>
        <v>INAR4026</v>
      </c>
      <c r="AH29" s="81" t="s">
        <v>135</v>
      </c>
      <c r="AI29" s="43" t="s">
        <v>141</v>
      </c>
      <c r="AJ29" s="81" t="s">
        <v>137</v>
      </c>
      <c r="AK29" s="221" t="str">
        <f t="shared" si="27"/>
        <v>INAR4026</v>
      </c>
      <c r="AL29" s="81" t="s">
        <v>138</v>
      </c>
      <c r="AM29" s="221" t="str">
        <f t="shared" si="28"/>
        <v>INAR4026</v>
      </c>
      <c r="AN29" s="81" t="s">
        <v>139</v>
      </c>
      <c r="AO29" s="221" t="str">
        <f t="shared" si="29"/>
        <v>INAR4026</v>
      </c>
      <c r="AP29" s="81" t="s">
        <v>135</v>
      </c>
      <c r="AQ29" s="43" t="s">
        <v>141</v>
      </c>
      <c r="AR29" s="81" t="s">
        <v>137</v>
      </c>
      <c r="AS29" s="221" t="str">
        <f t="shared" si="30"/>
        <v>INAR4026</v>
      </c>
      <c r="AT29" s="81" t="s">
        <v>138</v>
      </c>
      <c r="AU29" s="221" t="str">
        <f t="shared" si="31"/>
        <v>INAR4026</v>
      </c>
      <c r="AV29" s="81" t="s">
        <v>139</v>
      </c>
      <c r="AW29" s="221" t="str">
        <f t="shared" si="32"/>
        <v>INAR4026</v>
      </c>
      <c r="AX29" s="81" t="s">
        <v>135</v>
      </c>
      <c r="AY29" s="43" t="s">
        <v>141</v>
      </c>
      <c r="AZ29" s="81" t="s">
        <v>137</v>
      </c>
      <c r="BA29" s="221" t="str">
        <f t="shared" si="33"/>
        <v>INAR4026</v>
      </c>
      <c r="BB29" s="81" t="s">
        <v>138</v>
      </c>
      <c r="BC29" s="221" t="str">
        <f t="shared" si="34"/>
        <v>INAR4026</v>
      </c>
      <c r="BD29" s="81" t="s">
        <v>139</v>
      </c>
      <c r="BE29" s="221" t="str">
        <f t="shared" si="35"/>
        <v>INAR4026</v>
      </c>
    </row>
    <row r="30" spans="1:57" x14ac:dyDescent="0.25">
      <c r="A30" s="72" t="s">
        <v>142</v>
      </c>
      <c r="B30"/>
      <c r="C30"/>
      <c r="D30"/>
      <c r="E30"/>
      <c r="F30"/>
      <c r="G30"/>
      <c r="H30"/>
      <c r="I30" s="14">
        <v>28</v>
      </c>
      <c r="R30" s="81" t="s">
        <v>137</v>
      </c>
      <c r="S30" s="43" t="s">
        <v>143</v>
      </c>
      <c r="T30" s="81" t="s">
        <v>138</v>
      </c>
      <c r="U30" s="221" t="str">
        <f t="shared" si="9"/>
        <v>INAR4028</v>
      </c>
      <c r="V30" s="81" t="s">
        <v>139</v>
      </c>
      <c r="W30" s="221" t="str">
        <f t="shared" si="10"/>
        <v>INAR4028</v>
      </c>
      <c r="X30" s="81" t="s">
        <v>135</v>
      </c>
      <c r="Y30" s="221" t="str">
        <f t="shared" si="11"/>
        <v>INAR4028</v>
      </c>
      <c r="Z30" s="81" t="s">
        <v>137</v>
      </c>
      <c r="AA30" s="43" t="s">
        <v>143</v>
      </c>
      <c r="AB30" s="81" t="s">
        <v>138</v>
      </c>
      <c r="AC30" s="221" t="str">
        <f t="shared" si="24"/>
        <v>INAR4028</v>
      </c>
      <c r="AD30" s="81" t="s">
        <v>139</v>
      </c>
      <c r="AE30" s="221" t="str">
        <f t="shared" si="25"/>
        <v>INAR4028</v>
      </c>
      <c r="AF30" s="81" t="s">
        <v>135</v>
      </c>
      <c r="AG30" s="221" t="str">
        <f t="shared" si="26"/>
        <v>INAR4028</v>
      </c>
      <c r="AH30" s="81" t="s">
        <v>137</v>
      </c>
      <c r="AI30" s="43" t="s">
        <v>143</v>
      </c>
      <c r="AJ30" s="81" t="s">
        <v>138</v>
      </c>
      <c r="AK30" s="221" t="str">
        <f t="shared" si="27"/>
        <v>INAR4028</v>
      </c>
      <c r="AL30" s="81" t="s">
        <v>139</v>
      </c>
      <c r="AM30" s="221" t="str">
        <f t="shared" si="28"/>
        <v>INAR4028</v>
      </c>
      <c r="AN30" s="81" t="s">
        <v>135</v>
      </c>
      <c r="AO30" s="221" t="str">
        <f t="shared" si="29"/>
        <v>INAR4028</v>
      </c>
      <c r="AP30" s="81" t="s">
        <v>137</v>
      </c>
      <c r="AQ30" s="43" t="s">
        <v>143</v>
      </c>
      <c r="AR30" s="81" t="s">
        <v>138</v>
      </c>
      <c r="AS30" s="221" t="str">
        <f t="shared" si="30"/>
        <v>INAR4028</v>
      </c>
      <c r="AT30" s="81" t="s">
        <v>139</v>
      </c>
      <c r="AU30" s="221" t="str">
        <f t="shared" si="31"/>
        <v>INAR4028</v>
      </c>
      <c r="AV30" s="81" t="s">
        <v>135</v>
      </c>
      <c r="AW30" s="221" t="str">
        <f t="shared" si="32"/>
        <v>INAR4028</v>
      </c>
      <c r="AX30" s="81" t="s">
        <v>137</v>
      </c>
      <c r="AY30" s="43" t="s">
        <v>143</v>
      </c>
      <c r="AZ30" s="81" t="s">
        <v>138</v>
      </c>
      <c r="BA30" s="221" t="str">
        <f t="shared" si="33"/>
        <v>INAR4028</v>
      </c>
      <c r="BB30" s="81" t="s">
        <v>139</v>
      </c>
      <c r="BC30" s="221" t="str">
        <f t="shared" si="34"/>
        <v>INAR4028</v>
      </c>
      <c r="BD30" s="81" t="s">
        <v>135</v>
      </c>
      <c r="BE30" s="221" t="str">
        <f t="shared" si="35"/>
        <v>INAR4028</v>
      </c>
    </row>
    <row r="31" spans="1:57" x14ac:dyDescent="0.25">
      <c r="A31" s="72" t="s">
        <v>144</v>
      </c>
      <c r="B31"/>
      <c r="C31"/>
      <c r="D31"/>
      <c r="E31"/>
      <c r="F31"/>
      <c r="G31"/>
      <c r="H31"/>
      <c r="I31" s="14">
        <v>29</v>
      </c>
      <c r="R31" s="81" t="s">
        <v>137</v>
      </c>
      <c r="S31" s="43" t="s">
        <v>145</v>
      </c>
      <c r="T31" s="81" t="s">
        <v>138</v>
      </c>
      <c r="U31" s="221" t="str">
        <f t="shared" si="9"/>
        <v>INAR4030</v>
      </c>
      <c r="V31" s="81" t="s">
        <v>139</v>
      </c>
      <c r="W31" s="221" t="str">
        <f t="shared" si="10"/>
        <v>INAR4030</v>
      </c>
      <c r="X31" s="81" t="s">
        <v>135</v>
      </c>
      <c r="Y31" s="221" t="str">
        <f t="shared" si="11"/>
        <v>INAR4030</v>
      </c>
      <c r="Z31" s="81" t="s">
        <v>137</v>
      </c>
      <c r="AA31" s="43" t="s">
        <v>145</v>
      </c>
      <c r="AB31" s="81" t="s">
        <v>138</v>
      </c>
      <c r="AC31" s="221" t="str">
        <f t="shared" si="24"/>
        <v>INAR4030</v>
      </c>
      <c r="AD31" s="81" t="s">
        <v>139</v>
      </c>
      <c r="AE31" s="221" t="str">
        <f t="shared" si="25"/>
        <v>INAR4030</v>
      </c>
      <c r="AF31" s="81" t="s">
        <v>135</v>
      </c>
      <c r="AG31" s="221" t="str">
        <f t="shared" si="26"/>
        <v>INAR4030</v>
      </c>
      <c r="AH31" s="81" t="s">
        <v>137</v>
      </c>
      <c r="AI31" s="43" t="s">
        <v>145</v>
      </c>
      <c r="AJ31" s="81" t="s">
        <v>138</v>
      </c>
      <c r="AK31" s="221" t="str">
        <f t="shared" si="27"/>
        <v>INAR4030</v>
      </c>
      <c r="AL31" s="81" t="s">
        <v>139</v>
      </c>
      <c r="AM31" s="221" t="str">
        <f t="shared" si="28"/>
        <v>INAR4030</v>
      </c>
      <c r="AN31" s="81" t="s">
        <v>135</v>
      </c>
      <c r="AO31" s="221" t="str">
        <f t="shared" si="29"/>
        <v>INAR4030</v>
      </c>
      <c r="AP31" s="81" t="s">
        <v>137</v>
      </c>
      <c r="AQ31" s="43" t="s">
        <v>145</v>
      </c>
      <c r="AR31" s="81" t="s">
        <v>138</v>
      </c>
      <c r="AS31" s="221" t="str">
        <f t="shared" si="30"/>
        <v>INAR4030</v>
      </c>
      <c r="AT31" s="81" t="s">
        <v>139</v>
      </c>
      <c r="AU31" s="221" t="str">
        <f t="shared" si="31"/>
        <v>INAR4030</v>
      </c>
      <c r="AV31" s="81" t="s">
        <v>135</v>
      </c>
      <c r="AW31" s="221" t="str">
        <f t="shared" si="32"/>
        <v>INAR4030</v>
      </c>
      <c r="AX31" s="81" t="s">
        <v>137</v>
      </c>
      <c r="AY31" s="43" t="s">
        <v>145</v>
      </c>
      <c r="AZ31" s="81" t="s">
        <v>138</v>
      </c>
      <c r="BA31" s="221" t="str">
        <f t="shared" si="33"/>
        <v>INAR4030</v>
      </c>
      <c r="BB31" s="81" t="s">
        <v>139</v>
      </c>
      <c r="BC31" s="221" t="str">
        <f t="shared" si="34"/>
        <v>INAR4030</v>
      </c>
      <c r="BD31" s="81" t="s">
        <v>135</v>
      </c>
      <c r="BE31" s="221" t="str">
        <f t="shared" si="35"/>
        <v>INAR4030</v>
      </c>
    </row>
    <row r="32" spans="1:57" x14ac:dyDescent="0.25">
      <c r="A32" s="72" t="s">
        <v>146</v>
      </c>
      <c r="B32"/>
      <c r="C32"/>
      <c r="D32"/>
      <c r="E32"/>
      <c r="F32"/>
      <c r="G32"/>
      <c r="H32"/>
      <c r="I32" s="14">
        <v>30</v>
      </c>
      <c r="R32" s="81" t="s">
        <v>138</v>
      </c>
      <c r="S32" s="85" t="s">
        <v>147</v>
      </c>
      <c r="T32" s="81" t="s">
        <v>139</v>
      </c>
      <c r="U32" s="222" t="str">
        <f t="shared" si="9"/>
        <v>INAR4032</v>
      </c>
      <c r="V32" s="81" t="s">
        <v>135</v>
      </c>
      <c r="W32" s="222" t="str">
        <f t="shared" si="10"/>
        <v>INAR4032</v>
      </c>
      <c r="X32" s="81" t="s">
        <v>137</v>
      </c>
      <c r="Y32" s="222" t="str">
        <f t="shared" si="11"/>
        <v>INAR4032</v>
      </c>
      <c r="Z32" s="81" t="s">
        <v>138</v>
      </c>
      <c r="AA32" s="85" t="s">
        <v>147</v>
      </c>
      <c r="AB32" s="81" t="s">
        <v>139</v>
      </c>
      <c r="AC32" s="222" t="str">
        <f t="shared" si="24"/>
        <v>INAR4032</v>
      </c>
      <c r="AD32" s="81" t="s">
        <v>135</v>
      </c>
      <c r="AE32" s="222" t="str">
        <f t="shared" si="25"/>
        <v>INAR4032</v>
      </c>
      <c r="AF32" s="81" t="s">
        <v>137</v>
      </c>
      <c r="AG32" s="222" t="str">
        <f t="shared" si="26"/>
        <v>INAR4032</v>
      </c>
      <c r="AH32" s="81" t="s">
        <v>138</v>
      </c>
      <c r="AI32" s="85" t="s">
        <v>147</v>
      </c>
      <c r="AJ32" s="81" t="s">
        <v>139</v>
      </c>
      <c r="AK32" s="222" t="str">
        <f t="shared" si="27"/>
        <v>INAR4032</v>
      </c>
      <c r="AL32" s="81" t="s">
        <v>135</v>
      </c>
      <c r="AM32" s="222" t="str">
        <f t="shared" si="28"/>
        <v>INAR4032</v>
      </c>
      <c r="AN32" s="81" t="s">
        <v>137</v>
      </c>
      <c r="AO32" s="222" t="str">
        <f t="shared" si="29"/>
        <v>INAR4032</v>
      </c>
      <c r="AP32" s="81" t="s">
        <v>138</v>
      </c>
      <c r="AQ32" s="85" t="s">
        <v>147</v>
      </c>
      <c r="AR32" s="81" t="s">
        <v>139</v>
      </c>
      <c r="AS32" s="222" t="str">
        <f t="shared" si="30"/>
        <v>INAR4032</v>
      </c>
      <c r="AT32" s="81" t="s">
        <v>135</v>
      </c>
      <c r="AU32" s="222" t="str">
        <f t="shared" si="31"/>
        <v>INAR4032</v>
      </c>
      <c r="AV32" s="81" t="s">
        <v>137</v>
      </c>
      <c r="AW32" s="222" t="str">
        <f t="shared" si="32"/>
        <v>INAR4032</v>
      </c>
      <c r="AX32" s="81" t="s">
        <v>138</v>
      </c>
      <c r="AY32" s="85" t="s">
        <v>147</v>
      </c>
      <c r="AZ32" s="81" t="s">
        <v>139</v>
      </c>
      <c r="BA32" s="222" t="str">
        <f t="shared" si="33"/>
        <v>INAR4032</v>
      </c>
      <c r="BB32" s="81" t="s">
        <v>135</v>
      </c>
      <c r="BC32" s="222" t="str">
        <f t="shared" si="34"/>
        <v>INAR4032</v>
      </c>
      <c r="BD32" s="81" t="s">
        <v>137</v>
      </c>
      <c r="BE32" s="222" t="str">
        <f t="shared" si="35"/>
        <v>INAR4032</v>
      </c>
    </row>
    <row r="33" spans="1:57" x14ac:dyDescent="0.25">
      <c r="A33" s="238" t="s">
        <v>148</v>
      </c>
      <c r="B33"/>
      <c r="C33"/>
      <c r="D33"/>
      <c r="E33"/>
      <c r="F33"/>
      <c r="G33"/>
      <c r="H33"/>
      <c r="I33" s="14">
        <v>31</v>
      </c>
      <c r="R33" s="81" t="s">
        <v>138</v>
      </c>
      <c r="S33" s="85" t="s">
        <v>149</v>
      </c>
      <c r="T33" s="81" t="s">
        <v>139</v>
      </c>
      <c r="U33" s="222" t="str">
        <f t="shared" si="9"/>
        <v>-</v>
      </c>
      <c r="V33" s="81" t="s">
        <v>135</v>
      </c>
      <c r="W33" s="222" t="str">
        <f t="shared" si="10"/>
        <v>-</v>
      </c>
      <c r="X33" s="81" t="s">
        <v>137</v>
      </c>
      <c r="Y33" s="222" t="str">
        <f t="shared" si="11"/>
        <v>-</v>
      </c>
      <c r="Z33" s="81" t="s">
        <v>138</v>
      </c>
      <c r="AA33" s="85" t="s">
        <v>149</v>
      </c>
      <c r="AB33" s="81" t="s">
        <v>139</v>
      </c>
      <c r="AC33" s="222" t="str">
        <f t="shared" si="24"/>
        <v>-</v>
      </c>
      <c r="AD33" s="81" t="s">
        <v>135</v>
      </c>
      <c r="AE33" s="222" t="str">
        <f t="shared" si="25"/>
        <v>-</v>
      </c>
      <c r="AF33" s="81" t="s">
        <v>137</v>
      </c>
      <c r="AG33" s="222" t="str">
        <f t="shared" si="26"/>
        <v>-</v>
      </c>
      <c r="AH33" s="81" t="s">
        <v>138</v>
      </c>
      <c r="AI33" s="85" t="s">
        <v>149</v>
      </c>
      <c r="AJ33" s="81" t="s">
        <v>139</v>
      </c>
      <c r="AK33" s="222" t="str">
        <f t="shared" si="27"/>
        <v>-</v>
      </c>
      <c r="AL33" s="81" t="s">
        <v>135</v>
      </c>
      <c r="AM33" s="222" t="str">
        <f t="shared" si="28"/>
        <v>-</v>
      </c>
      <c r="AN33" s="81" t="s">
        <v>137</v>
      </c>
      <c r="AO33" s="222" t="str">
        <f t="shared" si="29"/>
        <v>-</v>
      </c>
      <c r="AP33" s="81" t="s">
        <v>138</v>
      </c>
      <c r="AQ33" s="85" t="s">
        <v>149</v>
      </c>
      <c r="AR33" s="81" t="s">
        <v>139</v>
      </c>
      <c r="AS33" s="222" t="str">
        <f t="shared" si="30"/>
        <v>-</v>
      </c>
      <c r="AT33" s="81" t="s">
        <v>135</v>
      </c>
      <c r="AU33" s="222" t="str">
        <f t="shared" si="31"/>
        <v>-</v>
      </c>
      <c r="AV33" s="81" t="s">
        <v>137</v>
      </c>
      <c r="AW33" s="222" t="str">
        <f t="shared" si="32"/>
        <v>-</v>
      </c>
      <c r="AX33" s="81" t="s">
        <v>138</v>
      </c>
      <c r="AY33" s="85" t="s">
        <v>149</v>
      </c>
      <c r="AZ33" s="81" t="s">
        <v>139</v>
      </c>
      <c r="BA33" s="222" t="str">
        <f t="shared" si="33"/>
        <v>-</v>
      </c>
      <c r="BB33" s="81" t="s">
        <v>135</v>
      </c>
      <c r="BC33" s="222" t="str">
        <f t="shared" si="34"/>
        <v>-</v>
      </c>
      <c r="BD33" s="81" t="s">
        <v>137</v>
      </c>
      <c r="BE33" s="222" t="str">
        <f t="shared" si="35"/>
        <v>-</v>
      </c>
    </row>
    <row r="34" spans="1:57" ht="15.75" customHeight="1" x14ac:dyDescent="0.25">
      <c r="A34"/>
      <c r="B34"/>
      <c r="C34"/>
      <c r="D34"/>
      <c r="E34"/>
      <c r="F34"/>
      <c r="G34"/>
      <c r="H34"/>
      <c r="I34" s="14">
        <v>32</v>
      </c>
      <c r="R34" s="81" t="s">
        <v>139</v>
      </c>
      <c r="S34" s="85" t="s">
        <v>150</v>
      </c>
      <c r="T34" s="81" t="s">
        <v>135</v>
      </c>
      <c r="U34" s="222" t="str">
        <f t="shared" si="9"/>
        <v>INAR4034</v>
      </c>
      <c r="V34" s="81" t="s">
        <v>137</v>
      </c>
      <c r="W34" s="222" t="str">
        <f t="shared" si="10"/>
        <v>INAR4034</v>
      </c>
      <c r="X34" s="81" t="s">
        <v>138</v>
      </c>
      <c r="Y34" s="222" t="str">
        <f t="shared" si="11"/>
        <v>INAR4034</v>
      </c>
      <c r="Z34" s="81" t="s">
        <v>139</v>
      </c>
      <c r="AA34" s="85" t="s">
        <v>150</v>
      </c>
      <c r="AB34" s="81" t="s">
        <v>135</v>
      </c>
      <c r="AC34" s="222" t="str">
        <f t="shared" si="24"/>
        <v>INAR4034</v>
      </c>
      <c r="AD34" s="81" t="s">
        <v>137</v>
      </c>
      <c r="AE34" s="222" t="str">
        <f t="shared" si="25"/>
        <v>INAR4034</v>
      </c>
      <c r="AF34" s="81" t="s">
        <v>138</v>
      </c>
      <c r="AG34" s="222" t="str">
        <f t="shared" si="26"/>
        <v>INAR4034</v>
      </c>
      <c r="AH34" s="81" t="s">
        <v>139</v>
      </c>
      <c r="AI34" s="85" t="s">
        <v>150</v>
      </c>
      <c r="AJ34" s="81" t="s">
        <v>135</v>
      </c>
      <c r="AK34" s="222" t="str">
        <f t="shared" si="27"/>
        <v>INAR4034</v>
      </c>
      <c r="AL34" s="81" t="s">
        <v>137</v>
      </c>
      <c r="AM34" s="222" t="str">
        <f t="shared" si="28"/>
        <v>INAR4034</v>
      </c>
      <c r="AN34" s="81" t="s">
        <v>138</v>
      </c>
      <c r="AO34" s="222" t="str">
        <f t="shared" si="29"/>
        <v>INAR4034</v>
      </c>
      <c r="AP34" s="81" t="s">
        <v>139</v>
      </c>
      <c r="AQ34" s="85" t="s">
        <v>150</v>
      </c>
      <c r="AR34" s="81" t="s">
        <v>135</v>
      </c>
      <c r="AS34" s="222" t="str">
        <f t="shared" si="30"/>
        <v>INAR4034</v>
      </c>
      <c r="AT34" s="81" t="s">
        <v>137</v>
      </c>
      <c r="AU34" s="222" t="str">
        <f t="shared" si="31"/>
        <v>INAR4034</v>
      </c>
      <c r="AV34" s="81" t="s">
        <v>138</v>
      </c>
      <c r="AW34" s="222" t="str">
        <f t="shared" si="32"/>
        <v>INAR4034</v>
      </c>
      <c r="AX34" s="81" t="s">
        <v>139</v>
      </c>
      <c r="AY34" s="85" t="s">
        <v>150</v>
      </c>
      <c r="AZ34" s="81" t="s">
        <v>135</v>
      </c>
      <c r="BA34" s="222" t="str">
        <f t="shared" si="33"/>
        <v>INAR4034</v>
      </c>
      <c r="BB34" s="81" t="s">
        <v>137</v>
      </c>
      <c r="BC34" s="222" t="str">
        <f t="shared" si="34"/>
        <v>INAR4034</v>
      </c>
      <c r="BD34" s="81" t="s">
        <v>138</v>
      </c>
      <c r="BE34" s="222" t="str">
        <f t="shared" si="35"/>
        <v>INAR4034</v>
      </c>
    </row>
    <row r="35" spans="1:57" x14ac:dyDescent="0.25">
      <c r="A35" s="239" t="s">
        <v>151</v>
      </c>
      <c r="B35"/>
      <c r="C35"/>
      <c r="D35"/>
      <c r="E35"/>
      <c r="F35"/>
      <c r="G35"/>
      <c r="H35"/>
      <c r="I35" s="14">
        <v>33</v>
      </c>
      <c r="R35" s="82" t="s">
        <v>139</v>
      </c>
      <c r="S35" s="85" t="s">
        <v>149</v>
      </c>
      <c r="T35" s="82" t="s">
        <v>135</v>
      </c>
      <c r="U35" s="222" t="str">
        <f t="shared" si="9"/>
        <v>-</v>
      </c>
      <c r="V35" s="82" t="s">
        <v>137</v>
      </c>
      <c r="W35" s="222" t="str">
        <f t="shared" si="10"/>
        <v>-</v>
      </c>
      <c r="X35" s="82" t="s">
        <v>138</v>
      </c>
      <c r="Y35" s="222" t="str">
        <f t="shared" si="11"/>
        <v>-</v>
      </c>
      <c r="Z35" s="82" t="s">
        <v>139</v>
      </c>
      <c r="AA35" s="85" t="s">
        <v>149</v>
      </c>
      <c r="AB35" s="82" t="s">
        <v>135</v>
      </c>
      <c r="AC35" s="222" t="str">
        <f t="shared" si="24"/>
        <v>-</v>
      </c>
      <c r="AD35" s="82" t="s">
        <v>137</v>
      </c>
      <c r="AE35" s="222" t="str">
        <f t="shared" si="25"/>
        <v>-</v>
      </c>
      <c r="AF35" s="82" t="s">
        <v>138</v>
      </c>
      <c r="AG35" s="222" t="str">
        <f t="shared" si="26"/>
        <v>-</v>
      </c>
      <c r="AH35" s="82" t="s">
        <v>139</v>
      </c>
      <c r="AI35" s="85" t="s">
        <v>149</v>
      </c>
      <c r="AJ35" s="82" t="s">
        <v>135</v>
      </c>
      <c r="AK35" s="222" t="str">
        <f t="shared" si="27"/>
        <v>-</v>
      </c>
      <c r="AL35" s="82" t="s">
        <v>137</v>
      </c>
      <c r="AM35" s="222" t="str">
        <f t="shared" si="28"/>
        <v>-</v>
      </c>
      <c r="AN35" s="82" t="s">
        <v>138</v>
      </c>
      <c r="AO35" s="222" t="str">
        <f t="shared" si="29"/>
        <v>-</v>
      </c>
      <c r="AP35" s="82" t="s">
        <v>139</v>
      </c>
      <c r="AQ35" s="85" t="s">
        <v>149</v>
      </c>
      <c r="AR35" s="82" t="s">
        <v>135</v>
      </c>
      <c r="AS35" s="222" t="str">
        <f t="shared" si="30"/>
        <v>-</v>
      </c>
      <c r="AT35" s="82" t="s">
        <v>137</v>
      </c>
      <c r="AU35" s="222" t="str">
        <f t="shared" si="31"/>
        <v>-</v>
      </c>
      <c r="AV35" s="82" t="s">
        <v>138</v>
      </c>
      <c r="AW35" s="222" t="str">
        <f t="shared" si="32"/>
        <v>-</v>
      </c>
      <c r="AX35" s="82" t="s">
        <v>139</v>
      </c>
      <c r="AY35" s="85" t="s">
        <v>149</v>
      </c>
      <c r="AZ35" s="82" t="s">
        <v>135</v>
      </c>
      <c r="BA35" s="222" t="str">
        <f t="shared" si="33"/>
        <v>-</v>
      </c>
      <c r="BB35" s="82" t="s">
        <v>137</v>
      </c>
      <c r="BC35" s="222" t="str">
        <f t="shared" si="34"/>
        <v>-</v>
      </c>
      <c r="BD35" s="82" t="s">
        <v>138</v>
      </c>
      <c r="BE35" s="222" t="str">
        <f t="shared" si="35"/>
        <v>-</v>
      </c>
    </row>
    <row r="36" spans="1:57" ht="15.75" customHeight="1" x14ac:dyDescent="0.25">
      <c r="A36"/>
      <c r="B36"/>
      <c r="C36"/>
      <c r="D36"/>
      <c r="E36"/>
      <c r="F36"/>
      <c r="G36"/>
      <c r="H36"/>
      <c r="R36" s="45"/>
      <c r="S36" s="18" t="s">
        <v>152</v>
      </c>
      <c r="T36" s="45"/>
      <c r="U36" s="18" t="s">
        <v>134</v>
      </c>
      <c r="V36" s="45"/>
      <c r="W36" s="18" t="s">
        <v>134</v>
      </c>
      <c r="X36" s="45"/>
      <c r="Y36" s="18" t="s">
        <v>134</v>
      </c>
      <c r="Z36" s="45"/>
      <c r="AA36" s="18" t="s">
        <v>134</v>
      </c>
      <c r="AB36" s="45"/>
      <c r="AC36" s="18" t="s">
        <v>134</v>
      </c>
      <c r="AD36" s="45"/>
      <c r="AE36" s="18" t="s">
        <v>134</v>
      </c>
      <c r="AF36" s="45"/>
      <c r="AG36" s="18" t="s">
        <v>134</v>
      </c>
      <c r="AH36" s="45"/>
      <c r="AI36" s="18" t="s">
        <v>134</v>
      </c>
      <c r="AJ36" s="45"/>
      <c r="AK36" s="18" t="s">
        <v>134</v>
      </c>
      <c r="AL36" s="45"/>
      <c r="AM36" s="18" t="s">
        <v>134</v>
      </c>
      <c r="AN36" s="45"/>
      <c r="AO36" s="18" t="s">
        <v>134</v>
      </c>
      <c r="AP36" s="45"/>
      <c r="AQ36" s="18" t="s">
        <v>134</v>
      </c>
      <c r="AR36" s="45"/>
      <c r="AS36" s="18" t="s">
        <v>134</v>
      </c>
      <c r="AT36" s="45"/>
      <c r="AU36" s="18" t="s">
        <v>134</v>
      </c>
      <c r="AV36" s="45"/>
      <c r="AW36" s="18" t="s">
        <v>134</v>
      </c>
      <c r="AX36" s="45"/>
      <c r="AY36" s="18" t="s">
        <v>134</v>
      </c>
      <c r="AZ36" s="45"/>
      <c r="BA36" s="18" t="s">
        <v>134</v>
      </c>
      <c r="BB36" s="45"/>
      <c r="BC36" s="18" t="s">
        <v>134</v>
      </c>
      <c r="BD36" s="45"/>
      <c r="BE36" s="18" t="s">
        <v>134</v>
      </c>
    </row>
    <row r="37" spans="1:57" ht="15.75" customHeight="1" x14ac:dyDescent="0.25">
      <c r="A37"/>
      <c r="B37"/>
      <c r="C37"/>
      <c r="D37"/>
      <c r="E37"/>
      <c r="F37"/>
      <c r="G37"/>
      <c r="H37"/>
      <c r="S37" s="70" t="s">
        <v>153</v>
      </c>
      <c r="U37" s="70" t="s">
        <v>153</v>
      </c>
      <c r="W37" s="70" t="s">
        <v>153</v>
      </c>
      <c r="Y37" s="70" t="s">
        <v>153</v>
      </c>
      <c r="AA37" s="70" t="s">
        <v>153</v>
      </c>
      <c r="AC37" s="70" t="s">
        <v>153</v>
      </c>
      <c r="AE37" s="70" t="s">
        <v>153</v>
      </c>
      <c r="AG37" s="70" t="s">
        <v>153</v>
      </c>
      <c r="AI37" s="70" t="s">
        <v>153</v>
      </c>
      <c r="AK37" s="70" t="s">
        <v>153</v>
      </c>
      <c r="AM37" s="70" t="s">
        <v>153</v>
      </c>
      <c r="AO37" s="70" t="s">
        <v>153</v>
      </c>
      <c r="AQ37" s="70" t="s">
        <v>153</v>
      </c>
      <c r="AS37" s="70" t="s">
        <v>153</v>
      </c>
      <c r="AU37" s="70" t="s">
        <v>153</v>
      </c>
      <c r="AW37" s="70" t="s">
        <v>153</v>
      </c>
      <c r="AY37" s="70" t="s">
        <v>153</v>
      </c>
      <c r="BA37" s="70" t="s">
        <v>153</v>
      </c>
      <c r="BC37" s="70" t="s">
        <v>153</v>
      </c>
      <c r="BE37" s="70" t="s">
        <v>153</v>
      </c>
    </row>
    <row r="38" spans="1:57" ht="16.5" customHeight="1" x14ac:dyDescent="0.25">
      <c r="A38"/>
      <c r="B38"/>
      <c r="C38"/>
      <c r="D38"/>
      <c r="E38"/>
      <c r="H38"/>
    </row>
    <row r="39" spans="1:57" x14ac:dyDescent="0.25">
      <c r="A39"/>
      <c r="B39"/>
      <c r="C39"/>
      <c r="D39"/>
      <c r="E39"/>
      <c r="H39"/>
    </row>
    <row r="40" spans="1:57" x14ac:dyDescent="0.25">
      <c r="A40"/>
      <c r="B40"/>
      <c r="C40"/>
      <c r="D40"/>
      <c r="E40"/>
      <c r="H40" s="75" t="s">
        <v>154</v>
      </c>
      <c r="J40" s="63"/>
      <c r="K40" s="64" t="s">
        <v>117</v>
      </c>
      <c r="L40" s="63"/>
      <c r="M40" s="64" t="s">
        <v>121</v>
      </c>
      <c r="N40" s="63"/>
      <c r="O40" s="64" t="s">
        <v>124</v>
      </c>
      <c r="P40" s="63"/>
      <c r="Q40" s="64" t="s">
        <v>127</v>
      </c>
      <c r="R40" s="63"/>
      <c r="S40" s="64" t="s">
        <v>130</v>
      </c>
    </row>
    <row r="41" spans="1:57" x14ac:dyDescent="0.25">
      <c r="A41"/>
      <c r="B41"/>
      <c r="C41"/>
      <c r="I41" s="14">
        <v>2</v>
      </c>
      <c r="J41" s="52" t="s">
        <v>155</v>
      </c>
      <c r="K41" s="18" t="s">
        <v>156</v>
      </c>
      <c r="L41" s="52" t="s">
        <v>155</v>
      </c>
      <c r="M41" s="42" t="s">
        <v>157</v>
      </c>
      <c r="N41" s="52" t="s">
        <v>155</v>
      </c>
      <c r="O41" s="42" t="s">
        <v>158</v>
      </c>
      <c r="P41" s="52" t="s">
        <v>155</v>
      </c>
      <c r="Q41" s="42" t="s">
        <v>159</v>
      </c>
      <c r="R41" s="52" t="s">
        <v>155</v>
      </c>
      <c r="S41" s="42" t="s">
        <v>160</v>
      </c>
    </row>
    <row r="42" spans="1:57" x14ac:dyDescent="0.25">
      <c r="A42"/>
      <c r="B42"/>
      <c r="C42"/>
      <c r="F42"/>
      <c r="I42" s="14">
        <v>3</v>
      </c>
      <c r="J42" s="53" t="s">
        <v>161</v>
      </c>
      <c r="K42" s="65" t="s">
        <v>162</v>
      </c>
      <c r="L42" s="53" t="s">
        <v>161</v>
      </c>
      <c r="M42" s="43" t="s">
        <v>163</v>
      </c>
      <c r="N42" s="53" t="s">
        <v>161</v>
      </c>
      <c r="O42" s="43" t="s">
        <v>164</v>
      </c>
      <c r="P42" s="53" t="s">
        <v>161</v>
      </c>
      <c r="Q42" s="43" t="s">
        <v>165</v>
      </c>
      <c r="R42" s="53" t="s">
        <v>161</v>
      </c>
      <c r="S42" s="43" t="s">
        <v>166</v>
      </c>
    </row>
    <row r="43" spans="1:57" x14ac:dyDescent="0.25">
      <c r="A43"/>
      <c r="B43"/>
      <c r="C43"/>
      <c r="F43"/>
      <c r="I43" s="14">
        <v>4</v>
      </c>
      <c r="J43" s="53" t="s">
        <v>167</v>
      </c>
      <c r="K43" s="65" t="s">
        <v>168</v>
      </c>
      <c r="L43" s="53" t="s">
        <v>167</v>
      </c>
      <c r="M43" s="43" t="s">
        <v>169</v>
      </c>
      <c r="N43" s="53" t="s">
        <v>167</v>
      </c>
      <c r="O43" s="43" t="s">
        <v>170</v>
      </c>
      <c r="P43" s="53" t="s">
        <v>167</v>
      </c>
      <c r="Q43" s="43" t="s">
        <v>171</v>
      </c>
      <c r="R43" s="53" t="s">
        <v>167</v>
      </c>
      <c r="S43" s="43" t="s">
        <v>172</v>
      </c>
    </row>
    <row r="44" spans="1:57" x14ac:dyDescent="0.25">
      <c r="A44"/>
      <c r="B44"/>
      <c r="C44"/>
      <c r="F44"/>
      <c r="I44" s="14">
        <v>5</v>
      </c>
      <c r="J44" s="53" t="s">
        <v>173</v>
      </c>
      <c r="K44" s="65" t="s">
        <v>164</v>
      </c>
      <c r="L44" s="53" t="s">
        <v>173</v>
      </c>
      <c r="M44" s="43" t="s">
        <v>164</v>
      </c>
      <c r="N44" s="53" t="s">
        <v>173</v>
      </c>
      <c r="O44" s="43" t="s">
        <v>174</v>
      </c>
      <c r="P44" s="53" t="s">
        <v>173</v>
      </c>
      <c r="Q44" s="43" t="s">
        <v>175</v>
      </c>
      <c r="R44" s="53" t="s">
        <v>173</v>
      </c>
      <c r="S44" s="43" t="s">
        <v>164</v>
      </c>
    </row>
    <row r="45" spans="1:57" x14ac:dyDescent="0.25">
      <c r="A45"/>
      <c r="B45"/>
      <c r="C45"/>
      <c r="F45"/>
      <c r="I45" s="14">
        <v>6</v>
      </c>
      <c r="J45" s="53" t="s">
        <v>176</v>
      </c>
      <c r="K45" s="65" t="s">
        <v>177</v>
      </c>
      <c r="L45" s="53" t="s">
        <v>176</v>
      </c>
      <c r="M45" s="43" t="s">
        <v>178</v>
      </c>
      <c r="N45" s="53" t="s">
        <v>176</v>
      </c>
      <c r="O45" s="43" t="s">
        <v>179</v>
      </c>
      <c r="P45" s="53"/>
      <c r="Q45" s="43"/>
      <c r="R45" s="53" t="s">
        <v>176</v>
      </c>
      <c r="S45" s="43" t="s">
        <v>180</v>
      </c>
    </row>
    <row r="46" spans="1:57" x14ac:dyDescent="0.25">
      <c r="A46"/>
      <c r="B46"/>
      <c r="C46"/>
      <c r="I46" s="14">
        <v>7</v>
      </c>
      <c r="J46" s="53" t="s">
        <v>181</v>
      </c>
      <c r="K46" s="83" t="s">
        <v>182</v>
      </c>
      <c r="L46" s="53" t="s">
        <v>181</v>
      </c>
      <c r="M46" s="43" t="s">
        <v>107</v>
      </c>
      <c r="N46" s="53" t="s">
        <v>181</v>
      </c>
      <c r="O46" s="43" t="s">
        <v>164</v>
      </c>
      <c r="P46" s="53"/>
      <c r="Q46" s="43"/>
      <c r="R46" s="53" t="s">
        <v>181</v>
      </c>
      <c r="S46" s="43" t="s">
        <v>183</v>
      </c>
    </row>
    <row r="47" spans="1:57" x14ac:dyDescent="0.25">
      <c r="A47"/>
      <c r="B47"/>
      <c r="C47"/>
      <c r="I47" s="14">
        <v>8</v>
      </c>
      <c r="J47" s="53" t="s">
        <v>184</v>
      </c>
      <c r="K47" s="65" t="s">
        <v>185</v>
      </c>
      <c r="L47" s="53" t="s">
        <v>184</v>
      </c>
      <c r="M47" s="43" t="s">
        <v>185</v>
      </c>
      <c r="N47" s="53" t="s">
        <v>184</v>
      </c>
      <c r="O47" s="43" t="s">
        <v>186</v>
      </c>
      <c r="P47" s="53"/>
      <c r="Q47" s="43"/>
      <c r="R47" s="53" t="s">
        <v>184</v>
      </c>
      <c r="S47" s="43" t="s">
        <v>185</v>
      </c>
    </row>
    <row r="48" spans="1:57" x14ac:dyDescent="0.25">
      <c r="A48"/>
      <c r="B48"/>
      <c r="C48"/>
      <c r="F48"/>
      <c r="G48"/>
      <c r="I48" s="14">
        <v>9</v>
      </c>
      <c r="J48" s="53"/>
      <c r="K48" s="65"/>
      <c r="L48" s="53"/>
      <c r="M48" s="43"/>
      <c r="N48" s="53" t="s">
        <v>187</v>
      </c>
      <c r="O48" s="43" t="s">
        <v>188</v>
      </c>
      <c r="P48" s="53"/>
      <c r="Q48" s="43"/>
      <c r="R48" s="53"/>
      <c r="S48" s="43"/>
    </row>
    <row r="49" spans="1:25" x14ac:dyDescent="0.25">
      <c r="A49"/>
      <c r="B49"/>
      <c r="C49"/>
      <c r="D49"/>
      <c r="E49"/>
      <c r="F49"/>
      <c r="G49"/>
      <c r="I49" s="14">
        <v>10</v>
      </c>
      <c r="J49" s="54"/>
      <c r="K49" s="66"/>
      <c r="L49" s="54"/>
      <c r="M49" s="61"/>
      <c r="N49" s="54" t="s">
        <v>189</v>
      </c>
      <c r="O49" s="61" t="s">
        <v>190</v>
      </c>
      <c r="P49" s="54"/>
      <c r="Q49" s="61"/>
      <c r="R49" s="54"/>
      <c r="S49" s="62"/>
    </row>
    <row r="50" spans="1:25" x14ac:dyDescent="0.25">
      <c r="A50"/>
      <c r="B50"/>
      <c r="C50"/>
      <c r="D50"/>
      <c r="E50"/>
      <c r="F50"/>
      <c r="G50"/>
      <c r="H50"/>
      <c r="K50" s="83" t="s">
        <v>191</v>
      </c>
      <c r="M50" s="84"/>
      <c r="O50" s="84"/>
    </row>
    <row r="51" spans="1:25" x14ac:dyDescent="0.25">
      <c r="A51"/>
      <c r="B51"/>
      <c r="C51"/>
      <c r="D51"/>
      <c r="E51"/>
      <c r="F51"/>
      <c r="G51"/>
      <c r="H51"/>
      <c r="O51" s="65"/>
    </row>
    <row r="52" spans="1:25" x14ac:dyDescent="0.25">
      <c r="A52"/>
      <c r="B52"/>
      <c r="C52"/>
      <c r="D52"/>
      <c r="E52"/>
      <c r="F52"/>
      <c r="G52"/>
      <c r="H52"/>
    </row>
    <row r="53" spans="1:25" x14ac:dyDescent="0.25">
      <c r="A53"/>
      <c r="B53"/>
      <c r="C53"/>
      <c r="D53"/>
      <c r="E53"/>
      <c r="F53"/>
      <c r="G53"/>
      <c r="H53"/>
      <c r="I53" s="14"/>
      <c r="U53" s="84"/>
      <c r="Y53" s="84"/>
    </row>
    <row r="54" spans="1:25" x14ac:dyDescent="0.25">
      <c r="A54"/>
      <c r="B54"/>
      <c r="C54"/>
      <c r="D54"/>
      <c r="E54"/>
      <c r="F54"/>
      <c r="G54"/>
      <c r="H54"/>
    </row>
    <row r="55" spans="1:25" x14ac:dyDescent="0.25">
      <c r="A55"/>
      <c r="B55"/>
      <c r="C55"/>
      <c r="D55"/>
      <c r="E55"/>
      <c r="F55"/>
      <c r="G55"/>
      <c r="H55"/>
    </row>
    <row r="56" spans="1:25" ht="24.75" customHeight="1" x14ac:dyDescent="0.25">
      <c r="A56"/>
      <c r="B56"/>
      <c r="C56"/>
      <c r="D56"/>
      <c r="E56"/>
      <c r="F56"/>
      <c r="G56"/>
      <c r="H56"/>
    </row>
    <row r="57" spans="1:25" ht="22.5" customHeight="1" x14ac:dyDescent="0.25">
      <c r="A57"/>
      <c r="B57"/>
      <c r="C57"/>
      <c r="D57"/>
      <c r="E57"/>
      <c r="F57"/>
      <c r="G57"/>
      <c r="H57"/>
    </row>
    <row r="58" spans="1:25" x14ac:dyDescent="0.25">
      <c r="A58"/>
      <c r="B58"/>
      <c r="C58"/>
      <c r="D58"/>
      <c r="E58"/>
      <c r="F58"/>
      <c r="G58"/>
      <c r="H58"/>
    </row>
    <row r="59" spans="1:25" x14ac:dyDescent="0.25">
      <c r="A59"/>
      <c r="B59"/>
      <c r="C59"/>
      <c r="D59"/>
      <c r="E59"/>
      <c r="F59"/>
      <c r="G59"/>
      <c r="H59"/>
    </row>
    <row r="60" spans="1:25" x14ac:dyDescent="0.25">
      <c r="A60"/>
      <c r="B60"/>
      <c r="C60"/>
      <c r="D60"/>
      <c r="E60"/>
      <c r="F60"/>
      <c r="G60"/>
      <c r="H60"/>
    </row>
    <row r="61" spans="1:25" x14ac:dyDescent="0.25">
      <c r="A61"/>
      <c r="B61"/>
      <c r="C61"/>
      <c r="D61"/>
      <c r="E61"/>
      <c r="F61"/>
      <c r="G61"/>
      <c r="H61"/>
    </row>
    <row r="62" spans="1:25" x14ac:dyDescent="0.25">
      <c r="H62"/>
    </row>
    <row r="63" spans="1:25" x14ac:dyDescent="0.25">
      <c r="H63"/>
    </row>
    <row r="64" spans="1:25" x14ac:dyDescent="0.25">
      <c r="H64"/>
    </row>
    <row r="65" spans="8:8" x14ac:dyDescent="0.25">
      <c r="H65"/>
    </row>
  </sheetData>
  <conditionalFormatting sqref="J4:Y36">
    <cfRule type="containsText" dxfId="166" priority="27" operator="containsText" text="Spec">
      <formula>NOT(ISERROR(SEARCH("Spec",J4)))</formula>
    </cfRule>
  </conditionalFormatting>
  <conditionalFormatting sqref="Z12:AG36 Z4:AD11 AF4:AF11">
    <cfRule type="containsText" dxfId="165" priority="26" operator="containsText" text="Spec">
      <formula>NOT(ISERROR(SEARCH("Spec",Z4)))</formula>
    </cfRule>
  </conditionalFormatting>
  <conditionalFormatting sqref="AY4:AY11">
    <cfRule type="containsText" dxfId="164" priority="3" operator="containsText" text="Spec">
      <formula>NOT(ISERROR(SEARCH("Spec",AY4)))</formula>
    </cfRule>
  </conditionalFormatting>
  <conditionalFormatting sqref="R4:Y36">
    <cfRule type="containsText" dxfId="163" priority="25" operator="containsText" text="Spec">
      <formula>NOT(ISERROR(SEARCH("Spec",R4)))</formula>
    </cfRule>
  </conditionalFormatting>
  <conditionalFormatting sqref="AG4:AG11">
    <cfRule type="containsText" dxfId="162" priority="22" operator="containsText" text="Spec">
      <formula>NOT(ISERROR(SEARCH("Spec",AG4)))</formula>
    </cfRule>
  </conditionalFormatting>
  <conditionalFormatting sqref="AG4:AG11">
    <cfRule type="containsText" dxfId="161" priority="21" operator="containsText" text="Spec">
      <formula>NOT(ISERROR(SEARCH("Spec",AG4)))</formula>
    </cfRule>
  </conditionalFormatting>
  <conditionalFormatting sqref="AH12:AO36 AH4:AH11 AN4:AN11 AJ4:AL11">
    <cfRule type="containsText" dxfId="160" priority="20" operator="containsText" text="Spec">
      <formula>NOT(ISERROR(SEARCH("Spec",AH4)))</formula>
    </cfRule>
  </conditionalFormatting>
  <conditionalFormatting sqref="AM4:AM11">
    <cfRule type="containsText" dxfId="159" priority="19" operator="containsText" text="Spec">
      <formula>NOT(ISERROR(SEARCH("Spec",AM4)))</formula>
    </cfRule>
  </conditionalFormatting>
  <conditionalFormatting sqref="AM4:AM11">
    <cfRule type="containsText" dxfId="158" priority="18" operator="containsText" text="Spec">
      <formula>NOT(ISERROR(SEARCH("Spec",AM4)))</formula>
    </cfRule>
  </conditionalFormatting>
  <conditionalFormatting sqref="AO4:AO11">
    <cfRule type="containsText" dxfId="157" priority="17" operator="containsText" text="Spec">
      <formula>NOT(ISERROR(SEARCH("Spec",AO4)))</formula>
    </cfRule>
  </conditionalFormatting>
  <conditionalFormatting sqref="AO4:AO11">
    <cfRule type="containsText" dxfId="156" priority="16" operator="containsText" text="Spec">
      <formula>NOT(ISERROR(SEARCH("Spec",AO4)))</formula>
    </cfRule>
  </conditionalFormatting>
  <conditionalFormatting sqref="AI4:AI11">
    <cfRule type="containsText" dxfId="155" priority="15" operator="containsText" text="Spec">
      <formula>NOT(ISERROR(SEARCH("Spec",AI4)))</formula>
    </cfRule>
  </conditionalFormatting>
  <conditionalFormatting sqref="AP12:AW36 AP4:AP11 AV4:AV11 AR4:AT11">
    <cfRule type="containsText" dxfId="154" priority="14" operator="containsText" text="Spec">
      <formula>NOT(ISERROR(SEARCH("Spec",AP4)))</formula>
    </cfRule>
  </conditionalFormatting>
  <conditionalFormatting sqref="AU4:AU11">
    <cfRule type="containsText" dxfId="153" priority="13" operator="containsText" text="Spec">
      <formula>NOT(ISERROR(SEARCH("Spec",AU4)))</formula>
    </cfRule>
  </conditionalFormatting>
  <conditionalFormatting sqref="AU4:AU11">
    <cfRule type="containsText" dxfId="152" priority="12" operator="containsText" text="Spec">
      <formula>NOT(ISERROR(SEARCH("Spec",AU4)))</formula>
    </cfRule>
  </conditionalFormatting>
  <conditionalFormatting sqref="AW4:AW11">
    <cfRule type="containsText" dxfId="151" priority="11" operator="containsText" text="Spec">
      <formula>NOT(ISERROR(SEARCH("Spec",AW4)))</formula>
    </cfRule>
  </conditionalFormatting>
  <conditionalFormatting sqref="AW4:AW11">
    <cfRule type="containsText" dxfId="150" priority="10" operator="containsText" text="Spec">
      <formula>NOT(ISERROR(SEARCH("Spec",AW4)))</formula>
    </cfRule>
  </conditionalFormatting>
  <conditionalFormatting sqref="AQ4:AQ11">
    <cfRule type="containsText" dxfId="149" priority="9" operator="containsText" text="Spec">
      <formula>NOT(ISERROR(SEARCH("Spec",AQ4)))</formula>
    </cfRule>
  </conditionalFormatting>
  <conditionalFormatting sqref="AX12:BE36 AX4:AX11 BD4:BD11 AZ4:BB11">
    <cfRule type="containsText" dxfId="148" priority="8" operator="containsText" text="Spec">
      <formula>NOT(ISERROR(SEARCH("Spec",AX4)))</formula>
    </cfRule>
  </conditionalFormatting>
  <conditionalFormatting sqref="BC4:BC11">
    <cfRule type="containsText" dxfId="147" priority="7" operator="containsText" text="Spec">
      <formula>NOT(ISERROR(SEARCH("Spec",BC4)))</formula>
    </cfRule>
  </conditionalFormatting>
  <conditionalFormatting sqref="BC4:BC11">
    <cfRule type="containsText" dxfId="146" priority="6" operator="containsText" text="Spec">
      <formula>NOT(ISERROR(SEARCH("Spec",BC4)))</formula>
    </cfRule>
  </conditionalFormatting>
  <conditionalFormatting sqref="BE4:BE11">
    <cfRule type="containsText" dxfId="145" priority="5" operator="containsText" text="Spec">
      <formula>NOT(ISERROR(SEARCH("Spec",BE4)))</formula>
    </cfRule>
  </conditionalFormatting>
  <conditionalFormatting sqref="BE4:BE11">
    <cfRule type="containsText" dxfId="144" priority="4" operator="containsText" text="Spec">
      <formula>NOT(ISERROR(SEARCH("Spec",BE4)))</formula>
    </cfRule>
  </conditionalFormatting>
  <conditionalFormatting sqref="AE4:AE11">
    <cfRule type="containsText" dxfId="143" priority="2" operator="containsText" text="Spec">
      <formula>NOT(ISERROR(SEARCH("Spec",AE4)))</formula>
    </cfRule>
  </conditionalFormatting>
  <conditionalFormatting sqref="AE4:AE11">
    <cfRule type="containsText" dxfId="142" priority="1" operator="containsText" text="Spec">
      <formula>NOT(ISERROR(SEARCH("Spec",AE4)))</formula>
    </cfRule>
  </conditionalFormatting>
  <pageMargins left="0.7" right="0.7" top="0.75" bottom="0.75" header="0.3" footer="0.3"/>
  <pageSetup paperSize="9" orientation="portrait" r:id="rId1"/>
  <ignoredErrors>
    <ignoredError sqref="C21:D21 C23:C25" calculatedColumn="1"/>
  </ignoredErrors>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T64"/>
  <sheetViews>
    <sheetView zoomScale="85" zoomScaleNormal="85" workbookViewId="0">
      <pane ySplit="3" topLeftCell="A4" activePane="bottomLeft" state="frozen"/>
      <selection activeCell="D6" sqref="D6"/>
      <selection pane="bottomLeft" activeCell="D6" sqref="D6"/>
    </sheetView>
  </sheetViews>
  <sheetFormatPr defaultRowHeight="15.75" x14ac:dyDescent="0.25"/>
  <cols>
    <col min="1" max="1" width="12" bestFit="1" customWidth="1"/>
    <col min="2" max="2" width="6.25" style="2" bestFit="1" customWidth="1"/>
    <col min="3" max="3" width="9.375" bestFit="1" customWidth="1"/>
    <col min="4" max="4" width="69.125" bestFit="1" customWidth="1"/>
    <col min="5" max="5" width="9.375" style="2" bestFit="1" customWidth="1"/>
    <col min="6" max="6" width="26.75" customWidth="1"/>
    <col min="7" max="10" width="6.25" bestFit="1" customWidth="1"/>
    <col min="11" max="11" width="52.125" customWidth="1"/>
    <col min="12" max="12" width="6.25" bestFit="1" customWidth="1"/>
    <col min="13" max="13" width="6.25" style="2" bestFit="1" customWidth="1"/>
    <col min="14" max="15" width="6.25" style="2" customWidth="1"/>
    <col min="16" max="17" width="6.25" style="2" bestFit="1" customWidth="1"/>
    <col min="18" max="18" width="5.75" style="2" bestFit="1" customWidth="1"/>
    <col min="19" max="19" width="6.25" bestFit="1" customWidth="1"/>
    <col min="20" max="20" width="5.75" bestFit="1" customWidth="1"/>
    <col min="21" max="22" width="5.375" bestFit="1" customWidth="1"/>
    <col min="23" max="23" width="6.5" bestFit="1" customWidth="1"/>
    <col min="24" max="24" width="6" bestFit="1" customWidth="1"/>
    <col min="25" max="25" width="6.5" bestFit="1" customWidth="1"/>
  </cols>
  <sheetData>
    <row r="1" spans="1:20" x14ac:dyDescent="0.25">
      <c r="A1" s="41">
        <v>1</v>
      </c>
      <c r="B1" s="41">
        <v>2</v>
      </c>
      <c r="C1" s="41">
        <v>3</v>
      </c>
      <c r="D1" s="41">
        <v>4</v>
      </c>
      <c r="E1" s="41">
        <v>5</v>
      </c>
      <c r="F1" s="41">
        <v>6</v>
      </c>
      <c r="G1" s="41">
        <v>7</v>
      </c>
      <c r="H1" s="41">
        <v>8</v>
      </c>
      <c r="I1" s="41">
        <v>9</v>
      </c>
      <c r="J1" s="41">
        <v>10</v>
      </c>
      <c r="K1" s="41">
        <v>11</v>
      </c>
      <c r="L1" s="41">
        <v>12</v>
      </c>
      <c r="M1" s="41">
        <v>13</v>
      </c>
      <c r="N1" s="41"/>
      <c r="O1" s="41"/>
      <c r="P1" s="41">
        <v>14</v>
      </c>
      <c r="Q1" s="41">
        <v>15</v>
      </c>
      <c r="R1" s="41">
        <v>16</v>
      </c>
      <c r="S1" s="41">
        <v>17</v>
      </c>
      <c r="T1" s="41">
        <v>18</v>
      </c>
    </row>
    <row r="2" spans="1:20" ht="16.5" thickBot="1" x14ac:dyDescent="0.3">
      <c r="A2" s="15"/>
      <c r="B2" s="16"/>
      <c r="C2" s="16"/>
      <c r="D2" s="15"/>
      <c r="E2" s="16"/>
      <c r="F2" s="15"/>
      <c r="G2" s="21"/>
      <c r="H2" s="16"/>
      <c r="I2" s="19"/>
      <c r="J2" s="20"/>
      <c r="K2" s="3"/>
      <c r="L2" s="15"/>
      <c r="M2" s="15"/>
      <c r="N2" s="15"/>
      <c r="O2" s="15"/>
      <c r="P2" s="15"/>
      <c r="Q2" s="15"/>
      <c r="R2" s="15"/>
      <c r="S2" s="15"/>
      <c r="T2" s="3"/>
    </row>
    <row r="3" spans="1:20" ht="72.75" x14ac:dyDescent="0.25">
      <c r="A3" s="48" t="s">
        <v>0</v>
      </c>
      <c r="B3" s="48" t="s">
        <v>1</v>
      </c>
      <c r="C3" s="48" t="s">
        <v>2</v>
      </c>
      <c r="D3" s="48" t="s">
        <v>192</v>
      </c>
      <c r="E3" s="48" t="s">
        <v>5</v>
      </c>
      <c r="F3" s="48" t="s">
        <v>4</v>
      </c>
      <c r="G3" s="49" t="s">
        <v>25</v>
      </c>
      <c r="H3" s="50" t="s">
        <v>26</v>
      </c>
      <c r="I3" s="50" t="s">
        <v>27</v>
      </c>
      <c r="J3" s="51" t="s">
        <v>28</v>
      </c>
      <c r="K3" s="49" t="s">
        <v>193</v>
      </c>
      <c r="L3" s="179" t="s">
        <v>81</v>
      </c>
      <c r="M3" s="180" t="s">
        <v>86</v>
      </c>
      <c r="N3" s="179" t="s">
        <v>90</v>
      </c>
      <c r="O3" s="180" t="s">
        <v>94</v>
      </c>
      <c r="P3" s="67" t="s">
        <v>117</v>
      </c>
      <c r="Q3" s="67" t="s">
        <v>124</v>
      </c>
      <c r="R3" s="67" t="s">
        <v>127</v>
      </c>
      <c r="S3" s="67" t="s">
        <v>130</v>
      </c>
      <c r="T3" s="67" t="s">
        <v>121</v>
      </c>
    </row>
    <row r="4" spans="1:20" x14ac:dyDescent="0.25">
      <c r="A4" s="5" t="s">
        <v>149</v>
      </c>
      <c r="B4" s="60"/>
      <c r="C4" s="60"/>
      <c r="D4" s="5" t="s">
        <v>194</v>
      </c>
      <c r="E4" s="60"/>
      <c r="F4" s="71"/>
      <c r="G4" s="76" t="str">
        <f>IFERROR(IF(VLOOKUP(TableHandbook[[#This Row],[UDC]],TableAvailabilities[],2,FALSE)&gt;0,"Y",""),"")</f>
        <v/>
      </c>
      <c r="H4" s="77" t="str">
        <f>IFERROR(IF(VLOOKUP(TableHandbook[[#This Row],[UDC]],TableAvailabilities[],3,FALSE)&gt;0,"Y",""),"")</f>
        <v/>
      </c>
      <c r="I4" s="78" t="str">
        <f>IFERROR(IF(VLOOKUP(TableHandbook[[#This Row],[UDC]],TableAvailabilities[],4,FALSE)&gt;0,"Y",""),"")</f>
        <v/>
      </c>
      <c r="J4" s="79" t="str">
        <f>IFERROR(IF(VLOOKUP(TableHandbook[[#This Row],[UDC]],TableAvailabilities[],5,FALSE)&gt;0,"Y",""),"")</f>
        <v/>
      </c>
      <c r="K4" s="167"/>
      <c r="L4" s="181" t="str">
        <f>IFERROR(VLOOKUP(TableHandbook[[#This Row],[UDC]],TableEOINARCH[],7,FALSE),"")</f>
        <v/>
      </c>
      <c r="M4" s="182" t="str">
        <f>IFERROR(VLOOKUP(TableHandbook[[#This Row],[UDC]],TableEOINARCH1[],7,FALSE),"")</f>
        <v/>
      </c>
      <c r="N4" s="181" t="str">
        <f>IFERROR(VLOOKUP(TableHandbook[[#This Row],[UDC]],TableOUINDSGN[],7,FALSE),"")</f>
        <v/>
      </c>
      <c r="O4" s="182" t="str">
        <f>IFERROR(VLOOKUP(TableHandbook[[#This Row],[UDC]],TableOBINDSGN[],7,FALSE),"")</f>
        <v/>
      </c>
      <c r="P4" s="68" t="str">
        <f>IFERROR(VLOOKUP(TableHandbook[[#This Row],[UDC]],TableOSCUANGAD[],7,FALSE),"")</f>
        <v/>
      </c>
      <c r="Q4" s="69" t="str">
        <f>IFERROR(VLOOKUP(TableHandbook[[#This Row],[UDC]],TableOSCUCONMS[],7,FALSE),"")</f>
        <v/>
      </c>
      <c r="R4" s="69" t="str">
        <f>IFERROR(VLOOKUP(TableHandbook[[#This Row],[UDC]],TableOSCUDIGDE[],7,FALSE),"")</f>
        <v/>
      </c>
      <c r="S4" s="69" t="str">
        <f>IFERROR(VLOOKUP(TableHandbook[[#This Row],[UDC]],TableOSCUPLGEO[],7,FALSE),"")</f>
        <v/>
      </c>
      <c r="T4" s="74" t="str">
        <f>IFERROR(VLOOKUP(TableHandbook[[#This Row],[UDC]],TableOSEUARCHT[],7,FALSE),"")</f>
        <v/>
      </c>
    </row>
    <row r="5" spans="1:20" x14ac:dyDescent="0.25">
      <c r="A5" s="5" t="s">
        <v>195</v>
      </c>
      <c r="B5" s="60"/>
      <c r="C5" s="60"/>
      <c r="D5" s="5" t="s">
        <v>196</v>
      </c>
      <c r="E5" s="60"/>
      <c r="F5" s="71"/>
      <c r="G5" s="76" t="str">
        <f>IFERROR(IF(VLOOKUP(TableHandbook[[#This Row],[UDC]],TableAvailabilities[],2,FALSE)&gt;0,"Y",""),"")</f>
        <v/>
      </c>
      <c r="H5" s="77" t="str">
        <f>IFERROR(IF(VLOOKUP(TableHandbook[[#This Row],[UDC]],TableAvailabilities[],3,FALSE)&gt;0,"Y",""),"")</f>
        <v/>
      </c>
      <c r="I5" s="78" t="str">
        <f>IFERROR(IF(VLOOKUP(TableHandbook[[#This Row],[UDC]],TableAvailabilities[],4,FALSE)&gt;0,"Y",""),"")</f>
        <v/>
      </c>
      <c r="J5" s="79" t="str">
        <f>IFERROR(IF(VLOOKUP(TableHandbook[[#This Row],[UDC]],TableAvailabilities[],5,FALSE)&gt;0,"Y",""),"")</f>
        <v/>
      </c>
      <c r="K5" s="167"/>
      <c r="L5" s="183" t="str">
        <f>IFERROR(VLOOKUP(TableHandbook[[#This Row],[UDC]],TableEOINARCH[],7,FALSE),"")</f>
        <v/>
      </c>
      <c r="M5" s="184" t="str">
        <f>IFERROR(VLOOKUP(TableHandbook[[#This Row],[UDC]],TableEOINARCH1[],7,FALSE),"")</f>
        <v/>
      </c>
      <c r="N5" s="183" t="str">
        <f>IFERROR(VLOOKUP(TableHandbook[[#This Row],[UDC]],TableOUINDSGN[],7,FALSE),"")</f>
        <v/>
      </c>
      <c r="O5" s="184" t="str">
        <f>IFERROR(VLOOKUP(TableHandbook[[#This Row],[UDC]],TableOBINDSGN[],7,FALSE),"")</f>
        <v/>
      </c>
      <c r="P5" s="73" t="str">
        <f>IFERROR(VLOOKUP(TableHandbook[[#This Row],[UDC]],TableOSCUANGAD[],7,FALSE),"")</f>
        <v/>
      </c>
      <c r="Q5" s="74" t="str">
        <f>IFERROR(VLOOKUP(TableHandbook[[#This Row],[UDC]],TableOSCUCONMS[],7,FALSE),"")</f>
        <v/>
      </c>
      <c r="R5" s="74" t="str">
        <f>IFERROR(VLOOKUP(TableHandbook[[#This Row],[UDC]],TableOSCUDIGDE[],7,FALSE),"")</f>
        <v/>
      </c>
      <c r="S5" s="74" t="str">
        <f>IFERROR(VLOOKUP(TableHandbook[[#This Row],[UDC]],TableOSCUPLGEO[],7,FALSE),"")</f>
        <v/>
      </c>
      <c r="T5" s="74" t="str">
        <f>IFERROR(VLOOKUP(TableHandbook[[#This Row],[UDC]],TableOSEUARCHT[],7,FALSE),"")</f>
        <v/>
      </c>
    </row>
    <row r="6" spans="1:20" x14ac:dyDescent="0.25">
      <c r="A6" s="5" t="s">
        <v>177</v>
      </c>
      <c r="B6" s="60">
        <v>0</v>
      </c>
      <c r="C6" s="60"/>
      <c r="D6" s="5" t="s">
        <v>197</v>
      </c>
      <c r="E6" s="60">
        <v>25</v>
      </c>
      <c r="F6" s="71" t="s">
        <v>198</v>
      </c>
      <c r="G6" s="76" t="str">
        <f>IFERROR(IF(VLOOKUP(TableHandbook[[#This Row],[UDC]],TableAvailabilities[],2,FALSE)&gt;0,"Y",""),"")</f>
        <v/>
      </c>
      <c r="H6" s="77" t="str">
        <f>IFERROR(IF(VLOOKUP(TableHandbook[[#This Row],[UDC]],TableAvailabilities[],3,FALSE)&gt;0,"Y",""),"")</f>
        <v/>
      </c>
      <c r="I6" s="78" t="str">
        <f>IFERROR(IF(VLOOKUP(TableHandbook[[#This Row],[UDC]],TableAvailabilities[],4,FALSE)&gt;0,"Y",""),"")</f>
        <v/>
      </c>
      <c r="J6" s="79" t="str">
        <f>IFERROR(IF(VLOOKUP(TableHandbook[[#This Row],[UDC]],TableAvailabilities[],5,FALSE)&gt;0,"Y",""),"")</f>
        <v/>
      </c>
      <c r="K6" s="167"/>
      <c r="L6" s="183" t="str">
        <f>IFERROR(VLOOKUP(TableHandbook[[#This Row],[UDC]],TableEOINARCH[],7,FALSE),"")</f>
        <v/>
      </c>
      <c r="M6" s="184" t="str">
        <f>IFERROR(VLOOKUP(TableHandbook[[#This Row],[UDC]],TableEOINARCH1[],7,FALSE),"")</f>
        <v/>
      </c>
      <c r="N6" s="183" t="str">
        <f>IFERROR(VLOOKUP(TableHandbook[[#This Row],[UDC]],TableOUINDSGN[],7,FALSE),"")</f>
        <v/>
      </c>
      <c r="O6" s="184" t="str">
        <f>IFERROR(VLOOKUP(TableHandbook[[#This Row],[UDC]],TableOBINDSGN[],7,FALSE),"")</f>
        <v/>
      </c>
      <c r="P6" s="73" t="str">
        <f>IFERROR(VLOOKUP(TableHandbook[[#This Row],[UDC]],TableOSCUANGAD[],7,FALSE),"")</f>
        <v>AltCore</v>
      </c>
      <c r="Q6" s="74" t="str">
        <f>IFERROR(VLOOKUP(TableHandbook[[#This Row],[UDC]],TableOSCUCONMS[],7,FALSE),"")</f>
        <v/>
      </c>
      <c r="R6" s="74" t="str">
        <f>IFERROR(VLOOKUP(TableHandbook[[#This Row],[UDC]],TableOSCUDIGDE[],7,FALSE),"")</f>
        <v/>
      </c>
      <c r="S6" s="74" t="str">
        <f>IFERROR(VLOOKUP(TableHandbook[[#This Row],[UDC]],TableOSCUPLGEO[],7,FALSE),"")</f>
        <v/>
      </c>
      <c r="T6" s="74" t="str">
        <f>IFERROR(VLOOKUP(TableHandbook[[#This Row],[UDC]],TableOSEUARCHT[],7,FALSE),"")</f>
        <v/>
      </c>
    </row>
    <row r="7" spans="1:20" x14ac:dyDescent="0.25">
      <c r="A7" s="5" t="s">
        <v>170</v>
      </c>
      <c r="B7" s="60">
        <v>0</v>
      </c>
      <c r="C7" s="60"/>
      <c r="D7" s="5" t="s">
        <v>199</v>
      </c>
      <c r="E7" s="60">
        <v>25</v>
      </c>
      <c r="F7" s="71" t="s">
        <v>198</v>
      </c>
      <c r="G7" s="76" t="str">
        <f>IFERROR(IF(VLOOKUP(TableHandbook[[#This Row],[UDC]],TableAvailabilities[],2,FALSE)&gt;0,"Y",""),"")</f>
        <v/>
      </c>
      <c r="H7" s="77" t="str">
        <f>IFERROR(IF(VLOOKUP(TableHandbook[[#This Row],[UDC]],TableAvailabilities[],3,FALSE)&gt;0,"Y",""),"")</f>
        <v/>
      </c>
      <c r="I7" s="78" t="str">
        <f>IFERROR(IF(VLOOKUP(TableHandbook[[#This Row],[UDC]],TableAvailabilities[],4,FALSE)&gt;0,"Y",""),"")</f>
        <v/>
      </c>
      <c r="J7" s="79" t="str">
        <f>IFERROR(IF(VLOOKUP(TableHandbook[[#This Row],[UDC]],TableAvailabilities[],5,FALSE)&gt;0,"Y",""),"")</f>
        <v/>
      </c>
      <c r="K7" s="167"/>
      <c r="L7" s="183" t="str">
        <f>IFERROR(VLOOKUP(TableHandbook[[#This Row],[UDC]],TableEOINARCH[],7,FALSE),"")</f>
        <v/>
      </c>
      <c r="M7" s="184" t="str">
        <f>IFERROR(VLOOKUP(TableHandbook[[#This Row],[UDC]],TableEOINARCH1[],7,FALSE),"")</f>
        <v/>
      </c>
      <c r="N7" s="183" t="str">
        <f>IFERROR(VLOOKUP(TableHandbook[[#This Row],[UDC]],TableOUINDSGN[],7,FALSE),"")</f>
        <v/>
      </c>
      <c r="O7" s="184" t="str">
        <f>IFERROR(VLOOKUP(TableHandbook[[#This Row],[UDC]],TableOBINDSGN[],7,FALSE),"")</f>
        <v/>
      </c>
      <c r="P7" s="73" t="str">
        <f>IFERROR(VLOOKUP(TableHandbook[[#This Row],[UDC]],TableOSCUANGAD[],7,FALSE),"")</f>
        <v/>
      </c>
      <c r="Q7" s="74" t="str">
        <f>IFERROR(VLOOKUP(TableHandbook[[#This Row],[UDC]],TableOSCUCONMS[],7,FALSE),"")</f>
        <v>AltCore</v>
      </c>
      <c r="R7" s="74" t="str">
        <f>IFERROR(VLOOKUP(TableHandbook[[#This Row],[UDC]],TableOSCUDIGDE[],7,FALSE),"")</f>
        <v/>
      </c>
      <c r="S7" s="74" t="str">
        <f>IFERROR(VLOOKUP(TableHandbook[[#This Row],[UDC]],TableOSCUPLGEO[],7,FALSE),"")</f>
        <v/>
      </c>
      <c r="T7" s="74" t="str">
        <f>IFERROR(VLOOKUP(TableHandbook[[#This Row],[UDC]],TableOSEUARCHT[],7,FALSE),"")</f>
        <v/>
      </c>
    </row>
    <row r="8" spans="1:20" x14ac:dyDescent="0.25">
      <c r="A8" s="5" t="s">
        <v>180</v>
      </c>
      <c r="B8" s="60">
        <v>0</v>
      </c>
      <c r="C8" s="60"/>
      <c r="D8" s="5" t="s">
        <v>200</v>
      </c>
      <c r="E8" s="60">
        <v>25</v>
      </c>
      <c r="F8" s="71" t="s">
        <v>198</v>
      </c>
      <c r="G8" s="76" t="str">
        <f>IFERROR(IF(VLOOKUP(TableHandbook[[#This Row],[UDC]],TableAvailabilities[],2,FALSE)&gt;0,"Y",""),"")</f>
        <v/>
      </c>
      <c r="H8" s="77" t="str">
        <f>IFERROR(IF(VLOOKUP(TableHandbook[[#This Row],[UDC]],TableAvailabilities[],3,FALSE)&gt;0,"Y",""),"")</f>
        <v/>
      </c>
      <c r="I8" s="78" t="str">
        <f>IFERROR(IF(VLOOKUP(TableHandbook[[#This Row],[UDC]],TableAvailabilities[],4,FALSE)&gt;0,"Y",""),"")</f>
        <v/>
      </c>
      <c r="J8" s="79" t="str">
        <f>IFERROR(IF(VLOOKUP(TableHandbook[[#This Row],[UDC]],TableAvailabilities[],5,FALSE)&gt;0,"Y",""),"")</f>
        <v/>
      </c>
      <c r="K8" s="167"/>
      <c r="L8" s="183" t="str">
        <f>IFERROR(VLOOKUP(TableHandbook[[#This Row],[UDC]],TableEOINARCH[],7,FALSE),"")</f>
        <v/>
      </c>
      <c r="M8" s="184" t="str">
        <f>IFERROR(VLOOKUP(TableHandbook[[#This Row],[UDC]],TableEOINARCH1[],7,FALSE),"")</f>
        <v/>
      </c>
      <c r="N8" s="183" t="str">
        <f>IFERROR(VLOOKUP(TableHandbook[[#This Row],[UDC]],TableOUINDSGN[],7,FALSE),"")</f>
        <v/>
      </c>
      <c r="O8" s="184" t="str">
        <f>IFERROR(VLOOKUP(TableHandbook[[#This Row],[UDC]],TableOBINDSGN[],7,FALSE),"")</f>
        <v/>
      </c>
      <c r="P8" s="73" t="str">
        <f>IFERROR(VLOOKUP(TableHandbook[[#This Row],[UDC]],TableOSCUANGAD[],7,FALSE),"")</f>
        <v/>
      </c>
      <c r="Q8" s="74" t="str">
        <f>IFERROR(VLOOKUP(TableHandbook[[#This Row],[UDC]],TableOSCUCONMS[],7,FALSE),"")</f>
        <v/>
      </c>
      <c r="R8" s="74" t="str">
        <f>IFERROR(VLOOKUP(TableHandbook[[#This Row],[UDC]],TableOSCUDIGDE[],7,FALSE),"")</f>
        <v/>
      </c>
      <c r="S8" s="74" t="str">
        <f>IFERROR(VLOOKUP(TableHandbook[[#This Row],[UDC]],TableOSCUPLGEO[],7,FALSE),"")</f>
        <v>AltCore</v>
      </c>
      <c r="T8" s="74" t="str">
        <f>IFERROR(VLOOKUP(TableHandbook[[#This Row],[UDC]],TableOSEUARCHT[],7,FALSE),"")</f>
        <v/>
      </c>
    </row>
    <row r="9" spans="1:20" x14ac:dyDescent="0.25">
      <c r="A9" s="241" t="s">
        <v>201</v>
      </c>
      <c r="B9" s="242"/>
      <c r="C9" s="242"/>
      <c r="D9" s="241" t="s">
        <v>202</v>
      </c>
      <c r="E9" s="242"/>
      <c r="F9" s="243"/>
      <c r="G9" s="245" t="str">
        <f>IFERROR(IF(VLOOKUP(TableHandbook[[#This Row],[UDC]],TableAvailabilities[],2,FALSE)&gt;0,"Y",""),"")</f>
        <v/>
      </c>
      <c r="H9" s="246" t="str">
        <f>IFERROR(IF(VLOOKUP(TableHandbook[[#This Row],[UDC]],TableAvailabilities[],3,FALSE)&gt;0,"Y",""),"")</f>
        <v/>
      </c>
      <c r="I9" s="247" t="str">
        <f>IFERROR(IF(VLOOKUP(TableHandbook[[#This Row],[UDC]],TableAvailabilities[],4,FALSE)&gt;0,"Y",""),"")</f>
        <v/>
      </c>
      <c r="J9" s="248" t="str">
        <f>IFERROR(IF(VLOOKUP(TableHandbook[[#This Row],[UDC]],TableAvailabilities[],5,FALSE)&gt;0,"Y",""),"")</f>
        <v/>
      </c>
      <c r="K9" s="244"/>
      <c r="L9" s="249" t="str">
        <f>IFERROR(VLOOKUP(TableHandbook[[#This Row],[UDC]],TableEOINARCH[],7,FALSE),"")</f>
        <v/>
      </c>
      <c r="M9" s="250" t="str">
        <f>IFERROR(VLOOKUP(TableHandbook[[#This Row],[UDC]],TableEOINARCH1[],7,FALSE),"")</f>
        <v/>
      </c>
      <c r="N9" s="249" t="str">
        <f>IFERROR(VLOOKUP(TableHandbook[[#This Row],[UDC]],TableOUINDSGN[],7,FALSE),"")</f>
        <v/>
      </c>
      <c r="O9" s="250" t="str">
        <f>IFERROR(VLOOKUP(TableHandbook[[#This Row],[UDC]],TableOBINDSGN[],7,FALSE),"")</f>
        <v/>
      </c>
      <c r="P9" s="251" t="str">
        <f>IFERROR(VLOOKUP(TableHandbook[[#This Row],[UDC]],TableOSCUANGAD[],7,FALSE),"")</f>
        <v/>
      </c>
      <c r="Q9" s="240" t="str">
        <f>IFERROR(VLOOKUP(TableHandbook[[#This Row],[UDC]],TableOSCUCONMS[],7,FALSE),"")</f>
        <v/>
      </c>
      <c r="R9" s="240" t="str">
        <f>IFERROR(VLOOKUP(TableHandbook[[#This Row],[UDC]],TableOSCUDIGDE[],7,FALSE),"")</f>
        <v/>
      </c>
      <c r="S9" s="240" t="str">
        <f>IFERROR(VLOOKUP(TableHandbook[[#This Row],[UDC]],TableOSCUPLGEO[],7,FALSE),"")</f>
        <v/>
      </c>
      <c r="T9" s="240" t="str">
        <f>IFERROR(VLOOKUP(TableHandbook[[#This Row],[UDC]],TableOSEUARCHT[],7,FALSE),"")</f>
        <v/>
      </c>
    </row>
    <row r="10" spans="1:20" x14ac:dyDescent="0.25">
      <c r="A10" s="5" t="s">
        <v>163</v>
      </c>
      <c r="B10" s="60">
        <v>2</v>
      </c>
      <c r="C10" s="60" t="s">
        <v>203</v>
      </c>
      <c r="D10" s="5" t="s">
        <v>204</v>
      </c>
      <c r="E10" s="60">
        <v>25</v>
      </c>
      <c r="F10" s="71" t="s">
        <v>205</v>
      </c>
      <c r="G10" s="76" t="str">
        <f>IFERROR(IF(VLOOKUP(TableHandbook[[#This Row],[UDC]],TableAvailabilities[],2,FALSE)&gt;0,"Y",""),"")</f>
        <v/>
      </c>
      <c r="H10" s="77" t="str">
        <f>IFERROR(IF(VLOOKUP(TableHandbook[[#This Row],[UDC]],TableAvailabilities[],3,FALSE)&gt;0,"Y",""),"")</f>
        <v>Y</v>
      </c>
      <c r="I10" s="78" t="str">
        <f>IFERROR(IF(VLOOKUP(TableHandbook[[#This Row],[UDC]],TableAvailabilities[],4,FALSE)&gt;0,"Y",""),"")</f>
        <v/>
      </c>
      <c r="J10" s="79" t="str">
        <f>IFERROR(IF(VLOOKUP(TableHandbook[[#This Row],[UDC]],TableAvailabilities[],5,FALSE)&gt;0,"Y",""),"")</f>
        <v>Y</v>
      </c>
      <c r="K10" s="167"/>
      <c r="L10" s="183" t="str">
        <f>IFERROR(VLOOKUP(TableHandbook[[#This Row],[UDC]],TableEOINARCH[],7,FALSE),"")</f>
        <v/>
      </c>
      <c r="M10" s="184" t="str">
        <f>IFERROR(VLOOKUP(TableHandbook[[#This Row],[UDC]],TableEOINARCH1[],7,FALSE),"")</f>
        <v/>
      </c>
      <c r="N10" s="183" t="str">
        <f>IFERROR(VLOOKUP(TableHandbook[[#This Row],[UDC]],TableOUINDSGN[],7,FALSE),"")</f>
        <v/>
      </c>
      <c r="O10" s="184" t="str">
        <f>IFERROR(VLOOKUP(TableHandbook[[#This Row],[UDC]],TableOBINDSGN[],7,FALSE),"")</f>
        <v/>
      </c>
      <c r="P10" s="73" t="str">
        <f>IFERROR(VLOOKUP(TableHandbook[[#This Row],[UDC]],TableOSCUANGAD[],7,FALSE),"")</f>
        <v/>
      </c>
      <c r="Q10" s="74" t="str">
        <f>IFERROR(VLOOKUP(TableHandbook[[#This Row],[UDC]],TableOSCUCONMS[],7,FALSE),"")</f>
        <v/>
      </c>
      <c r="R10" s="74" t="str">
        <f>IFERROR(VLOOKUP(TableHandbook[[#This Row],[UDC]],TableOSCUDIGDE[],7,FALSE),"")</f>
        <v/>
      </c>
      <c r="S10" s="74" t="str">
        <f>IFERROR(VLOOKUP(TableHandbook[[#This Row],[UDC]],TableOSCUPLGEO[],7,FALSE),"")</f>
        <v/>
      </c>
      <c r="T10" s="74" t="str">
        <f>IFERROR(VLOOKUP(TableHandbook[[#This Row],[UDC]],TableOSEUARCHT[],7,FALSE),"")</f>
        <v>Core</v>
      </c>
    </row>
    <row r="11" spans="1:20" x14ac:dyDescent="0.25">
      <c r="A11" s="5" t="s">
        <v>67</v>
      </c>
      <c r="B11" s="60">
        <v>3</v>
      </c>
      <c r="C11" s="60" t="s">
        <v>206</v>
      </c>
      <c r="D11" s="5" t="s">
        <v>207</v>
      </c>
      <c r="E11" s="60">
        <v>25</v>
      </c>
      <c r="F11" s="71" t="s">
        <v>205</v>
      </c>
      <c r="G11" s="76" t="str">
        <f>IFERROR(IF(VLOOKUP(TableHandbook[[#This Row],[UDC]],TableAvailabilities[],2,FALSE)&gt;0,"Y",""),"")</f>
        <v>Y</v>
      </c>
      <c r="H11" s="77" t="str">
        <f>IFERROR(IF(VLOOKUP(TableHandbook[[#This Row],[UDC]],TableAvailabilities[],3,FALSE)&gt;0,"Y",""),"")</f>
        <v/>
      </c>
      <c r="I11" s="78" t="str">
        <f>IFERROR(IF(VLOOKUP(TableHandbook[[#This Row],[UDC]],TableAvailabilities[],4,FALSE)&gt;0,"Y",""),"")</f>
        <v>Y</v>
      </c>
      <c r="J11" s="79" t="str">
        <f>IFERROR(IF(VLOOKUP(TableHandbook[[#This Row],[UDC]],TableAvailabilities[],5,FALSE)&gt;0,"Y",""),"")</f>
        <v/>
      </c>
      <c r="K11" s="167"/>
      <c r="L11" s="183" t="str">
        <f>IFERROR(VLOOKUP(TableHandbook[[#This Row],[UDC]],TableEOINARCH[],7,FALSE),"")</f>
        <v>Core</v>
      </c>
      <c r="M11" s="184" t="str">
        <f>IFERROR(VLOOKUP(TableHandbook[[#This Row],[UDC]],TableEOINARCH1[],7,FALSE),"")</f>
        <v>Core</v>
      </c>
      <c r="N11" s="183" t="str">
        <f>IFERROR(VLOOKUP(TableHandbook[[#This Row],[UDC]],TableOUINDSGN[],7,FALSE),"")</f>
        <v>Core</v>
      </c>
      <c r="O11" s="184" t="str">
        <f>IFERROR(VLOOKUP(TableHandbook[[#This Row],[UDC]],TableOBINDSGN[],7,FALSE),"")</f>
        <v>Core</v>
      </c>
      <c r="P11" s="73" t="str">
        <f>IFERROR(VLOOKUP(TableHandbook[[#This Row],[UDC]],TableOSCUANGAD[],7,FALSE),"")</f>
        <v/>
      </c>
      <c r="Q11" s="74" t="str">
        <f>IFERROR(VLOOKUP(TableHandbook[[#This Row],[UDC]],TableOSCUCONMS[],7,FALSE),"")</f>
        <v/>
      </c>
      <c r="R11" s="74" t="str">
        <f>IFERROR(VLOOKUP(TableHandbook[[#This Row],[UDC]],TableOSCUDIGDE[],7,FALSE),"")</f>
        <v/>
      </c>
      <c r="S11" s="74" t="str">
        <f>IFERROR(VLOOKUP(TableHandbook[[#This Row],[UDC]],TableOSCUPLGEO[],7,FALSE),"")</f>
        <v/>
      </c>
      <c r="T11" s="74" t="str">
        <f>IFERROR(VLOOKUP(TableHandbook[[#This Row],[UDC]],TableOSEUARCHT[],7,FALSE),"")</f>
        <v/>
      </c>
    </row>
    <row r="12" spans="1:20" x14ac:dyDescent="0.25">
      <c r="A12" s="5" t="s">
        <v>71</v>
      </c>
      <c r="B12" s="60">
        <v>3</v>
      </c>
      <c r="C12" s="60" t="s">
        <v>208</v>
      </c>
      <c r="D12" s="5" t="s">
        <v>209</v>
      </c>
      <c r="E12" s="60">
        <v>25</v>
      </c>
      <c r="F12" s="71" t="s">
        <v>205</v>
      </c>
      <c r="G12" s="76" t="str">
        <f>IFERROR(IF(VLOOKUP(TableHandbook[[#This Row],[UDC]],TableAvailabilities[],2,FALSE)&gt;0,"Y",""),"")</f>
        <v/>
      </c>
      <c r="H12" s="77" t="str">
        <f>IFERROR(IF(VLOOKUP(TableHandbook[[#This Row],[UDC]],TableAvailabilities[],3,FALSE)&gt;0,"Y",""),"")</f>
        <v>Y</v>
      </c>
      <c r="I12" s="78" t="str">
        <f>IFERROR(IF(VLOOKUP(TableHandbook[[#This Row],[UDC]],TableAvailabilities[],4,FALSE)&gt;0,"Y",""),"")</f>
        <v/>
      </c>
      <c r="J12" s="79" t="str">
        <f>IFERROR(IF(VLOOKUP(TableHandbook[[#This Row],[UDC]],TableAvailabilities[],5,FALSE)&gt;0,"Y",""),"")</f>
        <v>Y</v>
      </c>
      <c r="K12" s="167"/>
      <c r="L12" s="183" t="str">
        <f>IFERROR(VLOOKUP(TableHandbook[[#This Row],[UDC]],TableEOINARCH[],7,FALSE),"")</f>
        <v>Core</v>
      </c>
      <c r="M12" s="184" t="str">
        <f>IFERROR(VLOOKUP(TableHandbook[[#This Row],[UDC]],TableEOINARCH1[],7,FALSE),"")</f>
        <v>Core</v>
      </c>
      <c r="N12" s="183" t="str">
        <f>IFERROR(VLOOKUP(TableHandbook[[#This Row],[UDC]],TableOUINDSGN[],7,FALSE),"")</f>
        <v>Core</v>
      </c>
      <c r="O12" s="184" t="str">
        <f>IFERROR(VLOOKUP(TableHandbook[[#This Row],[UDC]],TableOBINDSGN[],7,FALSE),"")</f>
        <v>Core</v>
      </c>
      <c r="P12" s="73" t="str">
        <f>IFERROR(VLOOKUP(TableHandbook[[#This Row],[UDC]],TableOSCUANGAD[],7,FALSE),"")</f>
        <v/>
      </c>
      <c r="Q12" s="74" t="str">
        <f>IFERROR(VLOOKUP(TableHandbook[[#This Row],[UDC]],TableOSCUCONMS[],7,FALSE),"")</f>
        <v/>
      </c>
      <c r="R12" s="74" t="str">
        <f>IFERROR(VLOOKUP(TableHandbook[[#This Row],[UDC]],TableOSCUDIGDE[],7,FALSE),"")</f>
        <v/>
      </c>
      <c r="S12" s="74" t="str">
        <f>IFERROR(VLOOKUP(TableHandbook[[#This Row],[UDC]],TableOSCUPLGEO[],7,FALSE),"")</f>
        <v/>
      </c>
      <c r="T12" s="74" t="str">
        <f>IFERROR(VLOOKUP(TableHandbook[[#This Row],[UDC]],TableOSEUARCHT[],7,FALSE),"")</f>
        <v/>
      </c>
    </row>
    <row r="13" spans="1:20" x14ac:dyDescent="0.25">
      <c r="A13" s="5" t="s">
        <v>88</v>
      </c>
      <c r="B13" s="60">
        <v>3</v>
      </c>
      <c r="C13" s="60" t="s">
        <v>210</v>
      </c>
      <c r="D13" s="5" t="s">
        <v>211</v>
      </c>
      <c r="E13" s="60">
        <v>25</v>
      </c>
      <c r="F13" s="71" t="s">
        <v>212</v>
      </c>
      <c r="G13" s="76" t="str">
        <f>IFERROR(IF(VLOOKUP(TableHandbook[[#This Row],[UDC]],TableAvailabilities[],2,FALSE)&gt;0,"Y",""),"")</f>
        <v/>
      </c>
      <c r="H13" s="77" t="str">
        <f>IFERROR(IF(VLOOKUP(TableHandbook[[#This Row],[UDC]],TableAvailabilities[],3,FALSE)&gt;0,"Y",""),"")</f>
        <v>Y</v>
      </c>
      <c r="I13" s="78" t="str">
        <f>IFERROR(IF(VLOOKUP(TableHandbook[[#This Row],[UDC]],TableAvailabilities[],4,FALSE)&gt;0,"Y",""),"")</f>
        <v/>
      </c>
      <c r="J13" s="79" t="str">
        <f>IFERROR(IF(VLOOKUP(TableHandbook[[#This Row],[UDC]],TableAvailabilities[],5,FALSE)&gt;0,"Y",""),"")</f>
        <v>Y</v>
      </c>
      <c r="K13" s="167"/>
      <c r="L13" s="183" t="str">
        <f>IFERROR(VLOOKUP(TableHandbook[[#This Row],[UDC]],TableEOINARCH[],7,FALSE),"")</f>
        <v>Core</v>
      </c>
      <c r="M13" s="184" t="str">
        <f>IFERROR(VLOOKUP(TableHandbook[[#This Row],[UDC]],TableEOINARCH1[],7,FALSE),"")</f>
        <v>Core</v>
      </c>
      <c r="N13" s="183" t="str">
        <f>IFERROR(VLOOKUP(TableHandbook[[#This Row],[UDC]],TableOUINDSGN[],7,FALSE),"")</f>
        <v>Core</v>
      </c>
      <c r="O13" s="184" t="str">
        <f>IFERROR(VLOOKUP(TableHandbook[[#This Row],[UDC]],TableOBINDSGN[],7,FALSE),"")</f>
        <v>Core</v>
      </c>
      <c r="P13" s="73" t="str">
        <f>IFERROR(VLOOKUP(TableHandbook[[#This Row],[UDC]],TableOSCUANGAD[],7,FALSE),"")</f>
        <v/>
      </c>
      <c r="Q13" s="74" t="str">
        <f>IFERROR(VLOOKUP(TableHandbook[[#This Row],[UDC]],TableOSCUCONMS[],7,FALSE),"")</f>
        <v/>
      </c>
      <c r="R13" s="74" t="str">
        <f>IFERROR(VLOOKUP(TableHandbook[[#This Row],[UDC]],TableOSCUDIGDE[],7,FALSE),"")</f>
        <v/>
      </c>
      <c r="S13" s="74" t="str">
        <f>IFERROR(VLOOKUP(TableHandbook[[#This Row],[UDC]],TableOSCUPLGEO[],7,FALSE),"")</f>
        <v/>
      </c>
      <c r="T13" s="74" t="str">
        <f>IFERROR(VLOOKUP(TableHandbook[[#This Row],[UDC]],TableOSEUARCHT[],7,FALSE),"")</f>
        <v/>
      </c>
    </row>
    <row r="14" spans="1:20" x14ac:dyDescent="0.25">
      <c r="A14" s="5" t="s">
        <v>157</v>
      </c>
      <c r="B14" s="60">
        <v>2</v>
      </c>
      <c r="C14" s="60" t="s">
        <v>213</v>
      </c>
      <c r="D14" s="5" t="s">
        <v>214</v>
      </c>
      <c r="E14" s="60">
        <v>25</v>
      </c>
      <c r="F14" s="71" t="s">
        <v>205</v>
      </c>
      <c r="G14" s="76" t="str">
        <f>IFERROR(IF(VLOOKUP(TableHandbook[[#This Row],[UDC]],TableAvailabilities[],2,FALSE)&gt;0,"Y",""),"")</f>
        <v>Y</v>
      </c>
      <c r="H14" s="77" t="str">
        <f>IFERROR(IF(VLOOKUP(TableHandbook[[#This Row],[UDC]],TableAvailabilities[],3,FALSE)&gt;0,"Y",""),"")</f>
        <v/>
      </c>
      <c r="I14" s="78" t="str">
        <f>IFERROR(IF(VLOOKUP(TableHandbook[[#This Row],[UDC]],TableAvailabilities[],4,FALSE)&gt;0,"Y",""),"")</f>
        <v>Y</v>
      </c>
      <c r="J14" s="79" t="str">
        <f>IFERROR(IF(VLOOKUP(TableHandbook[[#This Row],[UDC]],TableAvailabilities[],5,FALSE)&gt;0,"Y",""),"")</f>
        <v/>
      </c>
      <c r="K14" s="167"/>
      <c r="L14" s="183" t="str">
        <f>IFERROR(VLOOKUP(TableHandbook[[#This Row],[UDC]],TableEOINARCH[],7,FALSE),"")</f>
        <v/>
      </c>
      <c r="M14" s="184" t="str">
        <f>IFERROR(VLOOKUP(TableHandbook[[#This Row],[UDC]],TableEOINARCH1[],7,FALSE),"")</f>
        <v/>
      </c>
      <c r="N14" s="183" t="str">
        <f>IFERROR(VLOOKUP(TableHandbook[[#This Row],[UDC]],TableOUINDSGN[],7,FALSE),"")</f>
        <v/>
      </c>
      <c r="O14" s="184" t="str">
        <f>IFERROR(VLOOKUP(TableHandbook[[#This Row],[UDC]],TableOBINDSGN[],7,FALSE),"")</f>
        <v/>
      </c>
      <c r="P14" s="73" t="str">
        <f>IFERROR(VLOOKUP(TableHandbook[[#This Row],[UDC]],TableOSCUANGAD[],7,FALSE),"")</f>
        <v/>
      </c>
      <c r="Q14" s="74" t="str">
        <f>IFERROR(VLOOKUP(TableHandbook[[#This Row],[UDC]],TableOSCUCONMS[],7,FALSE),"")</f>
        <v/>
      </c>
      <c r="R14" s="74" t="str">
        <f>IFERROR(VLOOKUP(TableHandbook[[#This Row],[UDC]],TableOSCUDIGDE[],7,FALSE),"")</f>
        <v/>
      </c>
      <c r="S14" s="74" t="str">
        <f>IFERROR(VLOOKUP(TableHandbook[[#This Row],[UDC]],TableOSCUPLGEO[],7,FALSE),"")</f>
        <v/>
      </c>
      <c r="T14" s="74" t="str">
        <f>IFERROR(VLOOKUP(TableHandbook[[#This Row],[UDC]],TableOSEUARCHT[],7,FALSE),"")</f>
        <v>Core</v>
      </c>
    </row>
    <row r="15" spans="1:20" x14ac:dyDescent="0.25">
      <c r="A15" s="5" t="s">
        <v>107</v>
      </c>
      <c r="B15" s="60">
        <v>3</v>
      </c>
      <c r="C15" s="60" t="s">
        <v>215</v>
      </c>
      <c r="D15" s="5" t="s">
        <v>216</v>
      </c>
      <c r="E15" s="60">
        <v>25</v>
      </c>
      <c r="F15" s="71" t="s">
        <v>217</v>
      </c>
      <c r="G15" s="76" t="str">
        <f>IFERROR(IF(VLOOKUP(TableHandbook[[#This Row],[UDC]],TableAvailabilities[],2,FALSE)&gt;0,"Y",""),"")</f>
        <v/>
      </c>
      <c r="H15" s="77" t="str">
        <f>IFERROR(IF(VLOOKUP(TableHandbook[[#This Row],[UDC]],TableAvailabilities[],3,FALSE)&gt;0,"Y",""),"")</f>
        <v/>
      </c>
      <c r="I15" s="78" t="str">
        <f>IFERROR(IF(VLOOKUP(TableHandbook[[#This Row],[UDC]],TableAvailabilities[],4,FALSE)&gt;0,"Y",""),"")</f>
        <v/>
      </c>
      <c r="J15" s="79" t="str">
        <f>IFERROR(IF(VLOOKUP(TableHandbook[[#This Row],[UDC]],TableAvailabilities[],5,FALSE)&gt;0,"Y",""),"")</f>
        <v/>
      </c>
      <c r="K15" s="167"/>
      <c r="L15" s="183" t="str">
        <f>IFERROR(VLOOKUP(TableHandbook[[#This Row],[UDC]],TableEOINARCH[],7,FALSE),"")</f>
        <v>Core</v>
      </c>
      <c r="M15" s="184" t="str">
        <f>IFERROR(VLOOKUP(TableHandbook[[#This Row],[UDC]],TableEOINARCH1[],7,FALSE),"")</f>
        <v>Core</v>
      </c>
      <c r="N15" s="183" t="str">
        <f>IFERROR(VLOOKUP(TableHandbook[[#This Row],[UDC]],TableOUINDSGN[],7,FALSE),"")</f>
        <v>Core</v>
      </c>
      <c r="O15" s="184" t="str">
        <f>IFERROR(VLOOKUP(TableHandbook[[#This Row],[UDC]],TableOBINDSGN[],7,FALSE),"")</f>
        <v>Core</v>
      </c>
      <c r="P15" s="73" t="str">
        <f>IFERROR(VLOOKUP(TableHandbook[[#This Row],[UDC]],TableOSCUANGAD[],7,FALSE),"")</f>
        <v/>
      </c>
      <c r="Q15" s="74" t="str">
        <f>IFERROR(VLOOKUP(TableHandbook[[#This Row],[UDC]],TableOSCUCONMS[],7,FALSE),"")</f>
        <v/>
      </c>
      <c r="R15" s="74" t="str">
        <f>IFERROR(VLOOKUP(TableHandbook[[#This Row],[UDC]],TableOSCUDIGDE[],7,FALSE),"")</f>
        <v/>
      </c>
      <c r="S15" s="74" t="str">
        <f>IFERROR(VLOOKUP(TableHandbook[[#This Row],[UDC]],TableOSCUPLGEO[],7,FALSE),"")</f>
        <v/>
      </c>
      <c r="T15" s="74" t="str">
        <f>IFERROR(VLOOKUP(TableHandbook[[#This Row],[UDC]],TableOSEUARCHT[],7,FALSE),"")</f>
        <v>Option</v>
      </c>
    </row>
    <row r="16" spans="1:20" ht="26.25" x14ac:dyDescent="0.25">
      <c r="A16" s="5" t="s">
        <v>105</v>
      </c>
      <c r="B16" s="60">
        <v>3</v>
      </c>
      <c r="C16" s="60" t="s">
        <v>218</v>
      </c>
      <c r="D16" s="5" t="s">
        <v>219</v>
      </c>
      <c r="E16" s="60">
        <v>25</v>
      </c>
      <c r="F16" s="71" t="s">
        <v>220</v>
      </c>
      <c r="G16" s="76" t="str">
        <f>IFERROR(IF(VLOOKUP(TableHandbook[[#This Row],[UDC]],TableAvailabilities[],2,FALSE)&gt;0,"Y",""),"")</f>
        <v/>
      </c>
      <c r="H16" s="77" t="str">
        <f>IFERROR(IF(VLOOKUP(TableHandbook[[#This Row],[UDC]],TableAvailabilities[],3,FALSE)&gt;0,"Y",""),"")</f>
        <v/>
      </c>
      <c r="I16" s="78" t="str">
        <f>IFERROR(IF(VLOOKUP(TableHandbook[[#This Row],[UDC]],TableAvailabilities[],4,FALSE)&gt;0,"Y",""),"")</f>
        <v/>
      </c>
      <c r="J16" s="79" t="str">
        <f>IFERROR(IF(VLOOKUP(TableHandbook[[#This Row],[UDC]],TableAvailabilities[],5,FALSE)&gt;0,"Y",""),"")</f>
        <v/>
      </c>
      <c r="K16" s="167"/>
      <c r="L16" s="183" t="str">
        <f>IFERROR(VLOOKUP(TableHandbook[[#This Row],[UDC]],TableEOINARCH[],7,FALSE),"")</f>
        <v>Core</v>
      </c>
      <c r="M16" s="184" t="str">
        <f>IFERROR(VLOOKUP(TableHandbook[[#This Row],[UDC]],TableEOINARCH1[],7,FALSE),"")</f>
        <v>Core</v>
      </c>
      <c r="N16" s="183" t="str">
        <f>IFERROR(VLOOKUP(TableHandbook[[#This Row],[UDC]],TableOUINDSGN[],7,FALSE),"")</f>
        <v>Core</v>
      </c>
      <c r="O16" s="184" t="str">
        <f>IFERROR(VLOOKUP(TableHandbook[[#This Row],[UDC]],TableOBINDSGN[],7,FALSE),"")</f>
        <v>Core</v>
      </c>
      <c r="P16" s="73" t="str">
        <f>IFERROR(VLOOKUP(TableHandbook[[#This Row],[UDC]],TableOSCUANGAD[],7,FALSE),"")</f>
        <v/>
      </c>
      <c r="Q16" s="74" t="str">
        <f>IFERROR(VLOOKUP(TableHandbook[[#This Row],[UDC]],TableOSCUCONMS[],7,FALSE),"")</f>
        <v/>
      </c>
      <c r="R16" s="74" t="str">
        <f>IFERROR(VLOOKUP(TableHandbook[[#This Row],[UDC]],TableOSCUDIGDE[],7,FALSE),"")</f>
        <v/>
      </c>
      <c r="S16" s="74" t="str">
        <f>IFERROR(VLOOKUP(TableHandbook[[#This Row],[UDC]],TableOSCUPLGEO[],7,FALSE),"")</f>
        <v/>
      </c>
      <c r="T16" s="74" t="str">
        <f>IFERROR(VLOOKUP(TableHandbook[[#This Row],[UDC]],TableOSEUARCHT[],7,FALSE),"")</f>
        <v/>
      </c>
    </row>
    <row r="17" spans="1:20" x14ac:dyDescent="0.25">
      <c r="A17" s="5" t="s">
        <v>169</v>
      </c>
      <c r="B17" s="60">
        <v>3</v>
      </c>
      <c r="C17" s="60" t="s">
        <v>221</v>
      </c>
      <c r="D17" s="5" t="s">
        <v>222</v>
      </c>
      <c r="E17" s="60">
        <v>25</v>
      </c>
      <c r="F17" s="71" t="s">
        <v>217</v>
      </c>
      <c r="G17" s="76" t="str">
        <f>IFERROR(IF(VLOOKUP(TableHandbook[[#This Row],[UDC]],TableAvailabilities[],2,FALSE)&gt;0,"Y",""),"")</f>
        <v>Y</v>
      </c>
      <c r="H17" s="77" t="str">
        <f>IFERROR(IF(VLOOKUP(TableHandbook[[#This Row],[UDC]],TableAvailabilities[],3,FALSE)&gt;0,"Y",""),"")</f>
        <v/>
      </c>
      <c r="I17" s="78" t="str">
        <f>IFERROR(IF(VLOOKUP(TableHandbook[[#This Row],[UDC]],TableAvailabilities[],4,FALSE)&gt;0,"Y",""),"")</f>
        <v>Y</v>
      </c>
      <c r="J17" s="79" t="str">
        <f>IFERROR(IF(VLOOKUP(TableHandbook[[#This Row],[UDC]],TableAvailabilities[],5,FALSE)&gt;0,"Y",""),"")</f>
        <v/>
      </c>
      <c r="K17" s="167"/>
      <c r="L17" s="183" t="str">
        <f>IFERROR(VLOOKUP(TableHandbook[[#This Row],[UDC]],TableEOINARCH[],7,FALSE),"")</f>
        <v/>
      </c>
      <c r="M17" s="184" t="str">
        <f>IFERROR(VLOOKUP(TableHandbook[[#This Row],[UDC]],TableEOINARCH1[],7,FALSE),"")</f>
        <v/>
      </c>
      <c r="N17" s="183" t="str">
        <f>IFERROR(VLOOKUP(TableHandbook[[#This Row],[UDC]],TableOUINDSGN[],7,FALSE),"")</f>
        <v/>
      </c>
      <c r="O17" s="184" t="str">
        <f>IFERROR(VLOOKUP(TableHandbook[[#This Row],[UDC]],TableOBINDSGN[],7,FALSE),"")</f>
        <v/>
      </c>
      <c r="P17" s="73" t="str">
        <f>IFERROR(VLOOKUP(TableHandbook[[#This Row],[UDC]],TableOSCUANGAD[],7,FALSE),"")</f>
        <v/>
      </c>
      <c r="Q17" s="74" t="str">
        <f>IFERROR(VLOOKUP(TableHandbook[[#This Row],[UDC]],TableOSCUCONMS[],7,FALSE),"")</f>
        <v/>
      </c>
      <c r="R17" s="74" t="str">
        <f>IFERROR(VLOOKUP(TableHandbook[[#This Row],[UDC]],TableOSCUDIGDE[],7,FALSE),"")</f>
        <v/>
      </c>
      <c r="S17" s="74" t="str">
        <f>IFERROR(VLOOKUP(TableHandbook[[#This Row],[UDC]],TableOSCUPLGEO[],7,FALSE),"")</f>
        <v/>
      </c>
      <c r="T17" s="74" t="str">
        <f>IFERROR(VLOOKUP(TableHandbook[[#This Row],[UDC]],TableOSEUARCHT[],7,FALSE),"")</f>
        <v>Core</v>
      </c>
    </row>
    <row r="18" spans="1:20" x14ac:dyDescent="0.25">
      <c r="A18" s="5" t="s">
        <v>122</v>
      </c>
      <c r="B18" s="60">
        <v>4</v>
      </c>
      <c r="C18" s="60" t="s">
        <v>223</v>
      </c>
      <c r="D18" s="5" t="s">
        <v>224</v>
      </c>
      <c r="E18" s="60">
        <v>25</v>
      </c>
      <c r="F18" s="71" t="s">
        <v>225</v>
      </c>
      <c r="G18" s="76" t="str">
        <f>IFERROR(IF(VLOOKUP(TableHandbook[[#This Row],[UDC]],TableAvailabilities[],2,FALSE)&gt;0,"Y",""),"")</f>
        <v/>
      </c>
      <c r="H18" s="77" t="str">
        <f>IFERROR(IF(VLOOKUP(TableHandbook[[#This Row],[UDC]],TableAvailabilities[],3,FALSE)&gt;0,"Y",""),"")</f>
        <v/>
      </c>
      <c r="I18" s="78" t="str">
        <f>IFERROR(IF(VLOOKUP(TableHandbook[[#This Row],[UDC]],TableAvailabilities[],4,FALSE)&gt;0,"Y",""),"")</f>
        <v/>
      </c>
      <c r="J18" s="79" t="str">
        <f>IFERROR(IF(VLOOKUP(TableHandbook[[#This Row],[UDC]],TableAvailabilities[],5,FALSE)&gt;0,"Y",""),"")</f>
        <v/>
      </c>
      <c r="K18" s="167"/>
      <c r="L18" s="183" t="str">
        <f>IFERROR(VLOOKUP(TableHandbook[[#This Row],[UDC]],TableEOINARCH[],7,FALSE),"")</f>
        <v>Core</v>
      </c>
      <c r="M18" s="184" t="str">
        <f>IFERROR(VLOOKUP(TableHandbook[[#This Row],[UDC]],TableEOINARCH1[],7,FALSE),"")</f>
        <v>Core</v>
      </c>
      <c r="N18" s="183" t="str">
        <f>IFERROR(VLOOKUP(TableHandbook[[#This Row],[UDC]],TableOUINDSGN[],7,FALSE),"")</f>
        <v>Core</v>
      </c>
      <c r="O18" s="184" t="str">
        <f>IFERROR(VLOOKUP(TableHandbook[[#This Row],[UDC]],TableOBINDSGN[],7,FALSE),"")</f>
        <v>Core</v>
      </c>
      <c r="P18" s="73" t="str">
        <f>IFERROR(VLOOKUP(TableHandbook[[#This Row],[UDC]],TableOSCUANGAD[],7,FALSE),"")</f>
        <v/>
      </c>
      <c r="Q18" s="74" t="str">
        <f>IFERROR(VLOOKUP(TableHandbook[[#This Row],[UDC]],TableOSCUCONMS[],7,FALSE),"")</f>
        <v/>
      </c>
      <c r="R18" s="74" t="str">
        <f>IFERROR(VLOOKUP(TableHandbook[[#This Row],[UDC]],TableOSCUDIGDE[],7,FALSE),"")</f>
        <v/>
      </c>
      <c r="S18" s="74" t="str">
        <f>IFERROR(VLOOKUP(TableHandbook[[#This Row],[UDC]],TableOSCUPLGEO[],7,FALSE),"")</f>
        <v/>
      </c>
      <c r="T18" s="74" t="str">
        <f>IFERROR(VLOOKUP(TableHandbook[[#This Row],[UDC]],TableOSEUARCHT[],7,FALSE),"")</f>
        <v/>
      </c>
    </row>
    <row r="19" spans="1:20" x14ac:dyDescent="0.25">
      <c r="A19" s="5" t="s">
        <v>190</v>
      </c>
      <c r="B19" s="60">
        <v>1</v>
      </c>
      <c r="C19" s="60" t="s">
        <v>226</v>
      </c>
      <c r="D19" s="5" t="s">
        <v>227</v>
      </c>
      <c r="E19" s="60">
        <v>25</v>
      </c>
      <c r="F19" s="71" t="s">
        <v>205</v>
      </c>
      <c r="G19" s="76" t="str">
        <f>IFERROR(IF(VLOOKUP(TableHandbook[[#This Row],[UDC]],TableAvailabilities[],2,FALSE)&gt;0,"Y",""),"")</f>
        <v/>
      </c>
      <c r="H19" s="77" t="str">
        <f>IFERROR(IF(VLOOKUP(TableHandbook[[#This Row],[UDC]],TableAvailabilities[],3,FALSE)&gt;0,"Y",""),"")</f>
        <v>Y</v>
      </c>
      <c r="I19" s="78" t="str">
        <f>IFERROR(IF(VLOOKUP(TableHandbook[[#This Row],[UDC]],TableAvailabilities[],4,FALSE)&gt;0,"Y",""),"")</f>
        <v/>
      </c>
      <c r="J19" s="79" t="str">
        <f>IFERROR(IF(VLOOKUP(TableHandbook[[#This Row],[UDC]],TableAvailabilities[],5,FALSE)&gt;0,"Y",""),"")</f>
        <v/>
      </c>
      <c r="K19" s="167"/>
      <c r="L19" s="183" t="str">
        <f>IFERROR(VLOOKUP(TableHandbook[[#This Row],[UDC]],TableEOINARCH[],7,FALSE),"")</f>
        <v/>
      </c>
      <c r="M19" s="184" t="str">
        <f>IFERROR(VLOOKUP(TableHandbook[[#This Row],[UDC]],TableEOINARCH1[],7,FALSE),"")</f>
        <v/>
      </c>
      <c r="N19" s="183" t="str">
        <f>IFERROR(VLOOKUP(TableHandbook[[#This Row],[UDC]],TableOUINDSGN[],7,FALSE),"")</f>
        <v/>
      </c>
      <c r="O19" s="184" t="str">
        <f>IFERROR(VLOOKUP(TableHandbook[[#This Row],[UDC]],TableOBINDSGN[],7,FALSE),"")</f>
        <v/>
      </c>
      <c r="P19" s="73" t="str">
        <f>IFERROR(VLOOKUP(TableHandbook[[#This Row],[UDC]],TableOSCUANGAD[],7,FALSE),"")</f>
        <v/>
      </c>
      <c r="Q19" s="74" t="str">
        <f>IFERROR(VLOOKUP(TableHandbook[[#This Row],[UDC]],TableOSCUCONMS[],7,FALSE),"")</f>
        <v>Core</v>
      </c>
      <c r="R19" s="74" t="str">
        <f>IFERROR(VLOOKUP(TableHandbook[[#This Row],[UDC]],TableOSCUDIGDE[],7,FALSE),"")</f>
        <v/>
      </c>
      <c r="S19" s="74" t="str">
        <f>IFERROR(VLOOKUP(TableHandbook[[#This Row],[UDC]],TableOSCUPLGEO[],7,FALSE),"")</f>
        <v/>
      </c>
      <c r="T19" s="74" t="str">
        <f>IFERROR(VLOOKUP(TableHandbook[[#This Row],[UDC]],TableOSEUARCHT[],7,FALSE),"")</f>
        <v/>
      </c>
    </row>
    <row r="20" spans="1:20" x14ac:dyDescent="0.25">
      <c r="A20" s="5" t="s">
        <v>158</v>
      </c>
      <c r="B20" s="60">
        <v>2</v>
      </c>
      <c r="C20" s="60" t="s">
        <v>228</v>
      </c>
      <c r="D20" s="5" t="s">
        <v>229</v>
      </c>
      <c r="E20" s="60">
        <v>25</v>
      </c>
      <c r="F20" s="71" t="s">
        <v>205</v>
      </c>
      <c r="G20" s="76" t="str">
        <f>IFERROR(IF(VLOOKUP(TableHandbook[[#This Row],[UDC]],TableAvailabilities[],2,FALSE)&gt;0,"Y",""),"")</f>
        <v>Y</v>
      </c>
      <c r="H20" s="77" t="str">
        <f>IFERROR(IF(VLOOKUP(TableHandbook[[#This Row],[UDC]],TableAvailabilities[],3,FALSE)&gt;0,"Y",""),"")</f>
        <v/>
      </c>
      <c r="I20" s="78" t="str">
        <f>IFERROR(IF(VLOOKUP(TableHandbook[[#This Row],[UDC]],TableAvailabilities[],4,FALSE)&gt;0,"Y",""),"")</f>
        <v>Y</v>
      </c>
      <c r="J20" s="79" t="str">
        <f>IFERROR(IF(VLOOKUP(TableHandbook[[#This Row],[UDC]],TableAvailabilities[],5,FALSE)&gt;0,"Y",""),"")</f>
        <v/>
      </c>
      <c r="K20" s="167"/>
      <c r="L20" s="183" t="str">
        <f>IFERROR(VLOOKUP(TableHandbook[[#This Row],[UDC]],TableEOINARCH[],7,FALSE),"")</f>
        <v/>
      </c>
      <c r="M20" s="184" t="str">
        <f>IFERROR(VLOOKUP(TableHandbook[[#This Row],[UDC]],TableEOINARCH1[],7,FALSE),"")</f>
        <v/>
      </c>
      <c r="N20" s="183" t="str">
        <f>IFERROR(VLOOKUP(TableHandbook[[#This Row],[UDC]],TableOUINDSGN[],7,FALSE),"")</f>
        <v/>
      </c>
      <c r="O20" s="184" t="str">
        <f>IFERROR(VLOOKUP(TableHandbook[[#This Row],[UDC]],TableOBINDSGN[],7,FALSE),"")</f>
        <v/>
      </c>
      <c r="P20" s="73" t="str">
        <f>IFERROR(VLOOKUP(TableHandbook[[#This Row],[UDC]],TableOSCUANGAD[],7,FALSE),"")</f>
        <v/>
      </c>
      <c r="Q20" s="74" t="str">
        <f>IFERROR(VLOOKUP(TableHandbook[[#This Row],[UDC]],TableOSCUCONMS[],7,FALSE),"")</f>
        <v>Core</v>
      </c>
      <c r="R20" s="74" t="str">
        <f>IFERROR(VLOOKUP(TableHandbook[[#This Row],[UDC]],TableOSCUDIGDE[],7,FALSE),"")</f>
        <v/>
      </c>
      <c r="S20" s="74" t="str">
        <f>IFERROR(VLOOKUP(TableHandbook[[#This Row],[UDC]],TableOSCUPLGEO[],7,FALSE),"")</f>
        <v/>
      </c>
      <c r="T20" s="74" t="str">
        <f>IFERROR(VLOOKUP(TableHandbook[[#This Row],[UDC]],TableOSEUARCHT[],7,FALSE),"")</f>
        <v/>
      </c>
    </row>
    <row r="21" spans="1:20" x14ac:dyDescent="0.25">
      <c r="A21" s="5" t="s">
        <v>174</v>
      </c>
      <c r="B21" s="60">
        <v>3</v>
      </c>
      <c r="C21" s="60" t="s">
        <v>230</v>
      </c>
      <c r="D21" s="5" t="s">
        <v>231</v>
      </c>
      <c r="E21" s="60">
        <v>25</v>
      </c>
      <c r="F21" s="71" t="s">
        <v>228</v>
      </c>
      <c r="G21" s="76" t="str">
        <f>IFERROR(IF(VLOOKUP(TableHandbook[[#This Row],[UDC]],TableAvailabilities[],2,FALSE)&gt;0,"Y",""),"")</f>
        <v>Y</v>
      </c>
      <c r="H21" s="77" t="str">
        <f>IFERROR(IF(VLOOKUP(TableHandbook[[#This Row],[UDC]],TableAvailabilities[],3,FALSE)&gt;0,"Y",""),"")</f>
        <v/>
      </c>
      <c r="I21" s="78" t="str">
        <f>IFERROR(IF(VLOOKUP(TableHandbook[[#This Row],[UDC]],TableAvailabilities[],4,FALSE)&gt;0,"Y",""),"")</f>
        <v>Y</v>
      </c>
      <c r="J21" s="79" t="str">
        <f>IFERROR(IF(VLOOKUP(TableHandbook[[#This Row],[UDC]],TableAvailabilities[],5,FALSE)&gt;0,"Y",""),"")</f>
        <v/>
      </c>
      <c r="K21" s="167"/>
      <c r="L21" s="183" t="str">
        <f>IFERROR(VLOOKUP(TableHandbook[[#This Row],[UDC]],TableEOINARCH[],7,FALSE),"")</f>
        <v/>
      </c>
      <c r="M21" s="184" t="str">
        <f>IFERROR(VLOOKUP(TableHandbook[[#This Row],[UDC]],TableEOINARCH1[],7,FALSE),"")</f>
        <v/>
      </c>
      <c r="N21" s="183" t="str">
        <f>IFERROR(VLOOKUP(TableHandbook[[#This Row],[UDC]],TableOUINDSGN[],7,FALSE),"")</f>
        <v/>
      </c>
      <c r="O21" s="184" t="str">
        <f>IFERROR(VLOOKUP(TableHandbook[[#This Row],[UDC]],TableOBINDSGN[],7,FALSE),"")</f>
        <v/>
      </c>
      <c r="P21" s="73" t="str">
        <f>IFERROR(VLOOKUP(TableHandbook[[#This Row],[UDC]],TableOSCUANGAD[],7,FALSE),"")</f>
        <v/>
      </c>
      <c r="Q21" s="74" t="str">
        <f>IFERROR(VLOOKUP(TableHandbook[[#This Row],[UDC]],TableOSCUCONMS[],7,FALSE),"")</f>
        <v>AltCore</v>
      </c>
      <c r="R21" s="74" t="str">
        <f>IFERROR(VLOOKUP(TableHandbook[[#This Row],[UDC]],TableOSCUDIGDE[],7,FALSE),"")</f>
        <v/>
      </c>
      <c r="S21" s="74" t="str">
        <f>IFERROR(VLOOKUP(TableHandbook[[#This Row],[UDC]],TableOSCUPLGEO[],7,FALSE),"")</f>
        <v/>
      </c>
      <c r="T21" s="74" t="str">
        <f>IFERROR(VLOOKUP(TableHandbook[[#This Row],[UDC]],TableOSEUARCHT[],7,FALSE),"")</f>
        <v/>
      </c>
    </row>
    <row r="22" spans="1:20" x14ac:dyDescent="0.25">
      <c r="A22" s="5" t="s">
        <v>179</v>
      </c>
      <c r="B22" s="60">
        <v>3</v>
      </c>
      <c r="C22" s="60" t="s">
        <v>232</v>
      </c>
      <c r="D22" s="5" t="s">
        <v>233</v>
      </c>
      <c r="E22" s="60">
        <v>25</v>
      </c>
      <c r="F22" s="71" t="s">
        <v>205</v>
      </c>
      <c r="G22" s="76" t="str">
        <f>IFERROR(IF(VLOOKUP(TableHandbook[[#This Row],[UDC]],TableAvailabilities[],2,FALSE)&gt;0,"Y",""),"")</f>
        <v/>
      </c>
      <c r="H22" s="77" t="str">
        <f>IFERROR(IF(VLOOKUP(TableHandbook[[#This Row],[UDC]],TableAvailabilities[],3,FALSE)&gt;0,"Y",""),"")</f>
        <v>Y</v>
      </c>
      <c r="I22" s="78" t="str">
        <f>IFERROR(IF(VLOOKUP(TableHandbook[[#This Row],[UDC]],TableAvailabilities[],4,FALSE)&gt;0,"Y",""),"")</f>
        <v/>
      </c>
      <c r="J22" s="79" t="str">
        <f>IFERROR(IF(VLOOKUP(TableHandbook[[#This Row],[UDC]],TableAvailabilities[],5,FALSE)&gt;0,"Y",""),"")</f>
        <v>Y</v>
      </c>
      <c r="K22" s="167"/>
      <c r="L22" s="183" t="str">
        <f>IFERROR(VLOOKUP(TableHandbook[[#This Row],[UDC]],TableEOINARCH[],7,FALSE),"")</f>
        <v/>
      </c>
      <c r="M22" s="184" t="str">
        <f>IFERROR(VLOOKUP(TableHandbook[[#This Row],[UDC]],TableEOINARCH1[],7,FALSE),"")</f>
        <v/>
      </c>
      <c r="N22" s="183" t="str">
        <f>IFERROR(VLOOKUP(TableHandbook[[#This Row],[UDC]],TableOUINDSGN[],7,FALSE),"")</f>
        <v/>
      </c>
      <c r="O22" s="184" t="str">
        <f>IFERROR(VLOOKUP(TableHandbook[[#This Row],[UDC]],TableOBINDSGN[],7,FALSE),"")</f>
        <v/>
      </c>
      <c r="P22" s="73" t="str">
        <f>IFERROR(VLOOKUP(TableHandbook[[#This Row],[UDC]],TableOSCUANGAD[],7,FALSE),"")</f>
        <v/>
      </c>
      <c r="Q22" s="74" t="str">
        <f>IFERROR(VLOOKUP(TableHandbook[[#This Row],[UDC]],TableOSCUCONMS[],7,FALSE),"")</f>
        <v>AltCore</v>
      </c>
      <c r="R22" s="74" t="str">
        <f>IFERROR(VLOOKUP(TableHandbook[[#This Row],[UDC]],TableOSCUDIGDE[],7,FALSE),"")</f>
        <v/>
      </c>
      <c r="S22" s="74" t="str">
        <f>IFERROR(VLOOKUP(TableHandbook[[#This Row],[UDC]],TableOSCUPLGEO[],7,FALSE),"")</f>
        <v/>
      </c>
      <c r="T22" s="74" t="str">
        <f>IFERROR(VLOOKUP(TableHandbook[[#This Row],[UDC]],TableOSEUARCHT[],7,FALSE),"")</f>
        <v/>
      </c>
    </row>
    <row r="23" spans="1:20" x14ac:dyDescent="0.25">
      <c r="A23" s="5" t="s">
        <v>188</v>
      </c>
      <c r="B23" s="60">
        <v>3</v>
      </c>
      <c r="C23" s="60" t="s">
        <v>234</v>
      </c>
      <c r="D23" s="5" t="s">
        <v>235</v>
      </c>
      <c r="E23" s="60">
        <v>25</v>
      </c>
      <c r="F23" s="71" t="s">
        <v>205</v>
      </c>
      <c r="G23" s="76" t="str">
        <f>IFERROR(IF(VLOOKUP(TableHandbook[[#This Row],[UDC]],TableAvailabilities[],2,FALSE)&gt;0,"Y",""),"")</f>
        <v>Y</v>
      </c>
      <c r="H23" s="77" t="str">
        <f>IFERROR(IF(VLOOKUP(TableHandbook[[#This Row],[UDC]],TableAvailabilities[],3,FALSE)&gt;0,"Y",""),"")</f>
        <v/>
      </c>
      <c r="I23" s="78" t="str">
        <f>IFERROR(IF(VLOOKUP(TableHandbook[[#This Row],[UDC]],TableAvailabilities[],4,FALSE)&gt;0,"Y",""),"")</f>
        <v>Y</v>
      </c>
      <c r="J23" s="79" t="str">
        <f>IFERROR(IF(VLOOKUP(TableHandbook[[#This Row],[UDC]],TableAvailabilities[],5,FALSE)&gt;0,"Y",""),"")</f>
        <v/>
      </c>
      <c r="K23" s="167"/>
      <c r="L23" s="183" t="str">
        <f>IFERROR(VLOOKUP(TableHandbook[[#This Row],[UDC]],TableEOINARCH[],7,FALSE),"")</f>
        <v/>
      </c>
      <c r="M23" s="184" t="str">
        <f>IFERROR(VLOOKUP(TableHandbook[[#This Row],[UDC]],TableEOINARCH1[],7,FALSE),"")</f>
        <v/>
      </c>
      <c r="N23" s="183" t="str">
        <f>IFERROR(VLOOKUP(TableHandbook[[#This Row],[UDC]],TableOUINDSGN[],7,FALSE),"")</f>
        <v/>
      </c>
      <c r="O23" s="184" t="str">
        <f>IFERROR(VLOOKUP(TableHandbook[[#This Row],[UDC]],TableOBINDSGN[],7,FALSE),"")</f>
        <v/>
      </c>
      <c r="P23" s="73" t="str">
        <f>IFERROR(VLOOKUP(TableHandbook[[#This Row],[UDC]],TableOSCUANGAD[],7,FALSE),"")</f>
        <v/>
      </c>
      <c r="Q23" s="74" t="str">
        <f>IFERROR(VLOOKUP(TableHandbook[[#This Row],[UDC]],TableOSCUCONMS[],7,FALSE),"")</f>
        <v>Core</v>
      </c>
      <c r="R23" s="74" t="str">
        <f>IFERROR(VLOOKUP(TableHandbook[[#This Row],[UDC]],TableOSCUDIGDE[],7,FALSE),"")</f>
        <v/>
      </c>
      <c r="S23" s="74" t="str">
        <f>IFERROR(VLOOKUP(TableHandbook[[#This Row],[UDC]],TableOSCUPLGEO[],7,FALSE),"")</f>
        <v/>
      </c>
      <c r="T23" s="74" t="str">
        <f>IFERROR(VLOOKUP(TableHandbook[[#This Row],[UDC]],TableOSEUARCHT[],7,FALSE),"")</f>
        <v/>
      </c>
    </row>
    <row r="24" spans="1:20" x14ac:dyDescent="0.25">
      <c r="A24" s="5" t="s">
        <v>74</v>
      </c>
      <c r="B24" s="60">
        <v>1</v>
      </c>
      <c r="C24" s="60" t="s">
        <v>236</v>
      </c>
      <c r="D24" s="5" t="s">
        <v>237</v>
      </c>
      <c r="E24" s="60">
        <v>25</v>
      </c>
      <c r="F24" s="71" t="s">
        <v>205</v>
      </c>
      <c r="G24" s="76" t="str">
        <f>IFERROR(IF(VLOOKUP(TableHandbook[[#This Row],[UDC]],TableAvailabilities[],2,FALSE)&gt;0,"Y",""),"")</f>
        <v>Y</v>
      </c>
      <c r="H24" s="77" t="str">
        <f>IFERROR(IF(VLOOKUP(TableHandbook[[#This Row],[UDC]],TableAvailabilities[],3,FALSE)&gt;0,"Y",""),"")</f>
        <v>Y</v>
      </c>
      <c r="I24" s="78" t="str">
        <f>IFERROR(IF(VLOOKUP(TableHandbook[[#This Row],[UDC]],TableAvailabilities[],4,FALSE)&gt;0,"Y",""),"")</f>
        <v>Y</v>
      </c>
      <c r="J24" s="79" t="str">
        <f>IFERROR(IF(VLOOKUP(TableHandbook[[#This Row],[UDC]],TableAvailabilities[],5,FALSE)&gt;0,"Y",""),"")</f>
        <v>Y</v>
      </c>
      <c r="K24" s="167"/>
      <c r="L24" s="183" t="str">
        <f>IFERROR(VLOOKUP(TableHandbook[[#This Row],[UDC]],TableEOINARCH[],7,FALSE),"")</f>
        <v>Core</v>
      </c>
      <c r="M24" s="184" t="str">
        <f>IFERROR(VLOOKUP(TableHandbook[[#This Row],[UDC]],TableEOINARCH1[],7,FALSE),"")</f>
        <v>Core</v>
      </c>
      <c r="N24" s="183" t="str">
        <f>IFERROR(VLOOKUP(TableHandbook[[#This Row],[UDC]],TableOUINDSGN[],7,FALSE),"")</f>
        <v>Core</v>
      </c>
      <c r="O24" s="184" t="str">
        <f>IFERROR(VLOOKUP(TableHandbook[[#This Row],[UDC]],TableOBINDSGN[],7,FALSE),"")</f>
        <v>Core</v>
      </c>
      <c r="P24" s="73" t="str">
        <f>IFERROR(VLOOKUP(TableHandbook[[#This Row],[UDC]],TableOSCUANGAD[],7,FALSE),"")</f>
        <v/>
      </c>
      <c r="Q24" s="74" t="str">
        <f>IFERROR(VLOOKUP(TableHandbook[[#This Row],[UDC]],TableOSCUCONMS[],7,FALSE),"")</f>
        <v/>
      </c>
      <c r="R24" s="74" t="str">
        <f>IFERROR(VLOOKUP(TableHandbook[[#This Row],[UDC]],TableOSCUDIGDE[],7,FALSE),"")</f>
        <v/>
      </c>
      <c r="S24" s="74" t="str">
        <f>IFERROR(VLOOKUP(TableHandbook[[#This Row],[UDC]],TableOSCUPLGEO[],7,FALSE),"")</f>
        <v/>
      </c>
      <c r="T24" s="74" t="str">
        <f>IFERROR(VLOOKUP(TableHandbook[[#This Row],[UDC]],TableOSEUARCHT[],7,FALSE),"")</f>
        <v/>
      </c>
    </row>
    <row r="25" spans="1:20" x14ac:dyDescent="0.25">
      <c r="A25" s="5" t="s">
        <v>183</v>
      </c>
      <c r="B25" s="60">
        <v>2</v>
      </c>
      <c r="C25" s="60" t="s">
        <v>238</v>
      </c>
      <c r="D25" s="5" t="s">
        <v>239</v>
      </c>
      <c r="E25" s="60">
        <v>25</v>
      </c>
      <c r="F25" s="71" t="s">
        <v>205</v>
      </c>
      <c r="G25" s="76" t="str">
        <f>IFERROR(IF(VLOOKUP(TableHandbook[[#This Row],[UDC]],TableAvailabilities[],2,FALSE)&gt;0,"Y",""),"")</f>
        <v>Y</v>
      </c>
      <c r="H25" s="77" t="str">
        <f>IFERROR(IF(VLOOKUP(TableHandbook[[#This Row],[UDC]],TableAvailabilities[],3,FALSE)&gt;0,"Y",""),"")</f>
        <v/>
      </c>
      <c r="I25" s="78" t="str">
        <f>IFERROR(IF(VLOOKUP(TableHandbook[[#This Row],[UDC]],TableAvailabilities[],4,FALSE)&gt;0,"Y",""),"")</f>
        <v>Y</v>
      </c>
      <c r="J25" s="79" t="str">
        <f>IFERROR(IF(VLOOKUP(TableHandbook[[#This Row],[UDC]],TableAvailabilities[],5,FALSE)&gt;0,"Y",""),"")</f>
        <v/>
      </c>
      <c r="K25" s="167"/>
      <c r="L25" s="183" t="str">
        <f>IFERROR(VLOOKUP(TableHandbook[[#This Row],[UDC]],TableEOINARCH[],7,FALSE),"")</f>
        <v/>
      </c>
      <c r="M25" s="184" t="str">
        <f>IFERROR(VLOOKUP(TableHandbook[[#This Row],[UDC]],TableEOINARCH1[],7,FALSE),"")</f>
        <v/>
      </c>
      <c r="N25" s="183" t="str">
        <f>IFERROR(VLOOKUP(TableHandbook[[#This Row],[UDC]],TableOUINDSGN[],7,FALSE),"")</f>
        <v/>
      </c>
      <c r="O25" s="184" t="str">
        <f>IFERROR(VLOOKUP(TableHandbook[[#This Row],[UDC]],TableOBINDSGN[],7,FALSE),"")</f>
        <v/>
      </c>
      <c r="P25" s="73" t="str">
        <f>IFERROR(VLOOKUP(TableHandbook[[#This Row],[UDC]],TableOSCUANGAD[],7,FALSE),"")</f>
        <v/>
      </c>
      <c r="Q25" s="74" t="str">
        <f>IFERROR(VLOOKUP(TableHandbook[[#This Row],[UDC]],TableOSCUCONMS[],7,FALSE),"")</f>
        <v/>
      </c>
      <c r="R25" s="74" t="str">
        <f>IFERROR(VLOOKUP(TableHandbook[[#This Row],[UDC]],TableOSCUDIGDE[],7,FALSE),"")</f>
        <v/>
      </c>
      <c r="S25" s="74" t="str">
        <f>IFERROR(VLOOKUP(TableHandbook[[#This Row],[UDC]],TableOSCUPLGEO[],7,FALSE),"")</f>
        <v>AltCore</v>
      </c>
      <c r="T25" s="74" t="str">
        <f>IFERROR(VLOOKUP(TableHandbook[[#This Row],[UDC]],TableOSEUARCHT[],7,FALSE),"")</f>
        <v/>
      </c>
    </row>
    <row r="26" spans="1:20" x14ac:dyDescent="0.25">
      <c r="A26" s="5" t="s">
        <v>159</v>
      </c>
      <c r="B26" s="60">
        <v>2</v>
      </c>
      <c r="C26" s="60" t="s">
        <v>240</v>
      </c>
      <c r="D26" s="5" t="s">
        <v>241</v>
      </c>
      <c r="E26" s="60">
        <v>25</v>
      </c>
      <c r="F26" s="71" t="s">
        <v>205</v>
      </c>
      <c r="G26" s="76" t="str">
        <f>IFERROR(IF(VLOOKUP(TableHandbook[[#This Row],[UDC]],TableAvailabilities[],2,FALSE)&gt;0,"Y",""),"")</f>
        <v>Y</v>
      </c>
      <c r="H26" s="77" t="str">
        <f>IFERROR(IF(VLOOKUP(TableHandbook[[#This Row],[UDC]],TableAvailabilities[],3,FALSE)&gt;0,"Y",""),"")</f>
        <v/>
      </c>
      <c r="I26" s="78" t="str">
        <f>IFERROR(IF(VLOOKUP(TableHandbook[[#This Row],[UDC]],TableAvailabilities[],4,FALSE)&gt;0,"Y",""),"")</f>
        <v>Y</v>
      </c>
      <c r="J26" s="79" t="str">
        <f>IFERROR(IF(VLOOKUP(TableHandbook[[#This Row],[UDC]],TableAvailabilities[],5,FALSE)&gt;0,"Y",""),"")</f>
        <v/>
      </c>
      <c r="K26" s="167"/>
      <c r="L26" s="183" t="str">
        <f>IFERROR(VLOOKUP(TableHandbook[[#This Row],[UDC]],TableEOINARCH[],7,FALSE),"")</f>
        <v/>
      </c>
      <c r="M26" s="184" t="str">
        <f>IFERROR(VLOOKUP(TableHandbook[[#This Row],[UDC]],TableEOINARCH1[],7,FALSE),"")</f>
        <v/>
      </c>
      <c r="N26" s="183" t="str">
        <f>IFERROR(VLOOKUP(TableHandbook[[#This Row],[UDC]],TableOUINDSGN[],7,FALSE),"")</f>
        <v/>
      </c>
      <c r="O26" s="184" t="str">
        <f>IFERROR(VLOOKUP(TableHandbook[[#This Row],[UDC]],TableOBINDSGN[],7,FALSE),"")</f>
        <v/>
      </c>
      <c r="P26" s="73" t="str">
        <f>IFERROR(VLOOKUP(TableHandbook[[#This Row],[UDC]],TableOSCUANGAD[],7,FALSE),"")</f>
        <v/>
      </c>
      <c r="Q26" s="74" t="str">
        <f>IFERROR(VLOOKUP(TableHandbook[[#This Row],[UDC]],TableOSCUCONMS[],7,FALSE),"")</f>
        <v/>
      </c>
      <c r="R26" s="74" t="str">
        <f>IFERROR(VLOOKUP(TableHandbook[[#This Row],[UDC]],TableOSCUDIGDE[],7,FALSE),"")</f>
        <v>Core</v>
      </c>
      <c r="S26" s="74" t="str">
        <f>IFERROR(VLOOKUP(TableHandbook[[#This Row],[UDC]],TableOSCUPLGEO[],7,FALSE),"")</f>
        <v/>
      </c>
      <c r="T26" s="74" t="str">
        <f>IFERROR(VLOOKUP(TableHandbook[[#This Row],[UDC]],TableOSEUARCHT[],7,FALSE),"")</f>
        <v/>
      </c>
    </row>
    <row r="27" spans="1:20" x14ac:dyDescent="0.25">
      <c r="A27" s="5" t="s">
        <v>156</v>
      </c>
      <c r="B27" s="60">
        <v>1</v>
      </c>
      <c r="C27" s="60" t="s">
        <v>242</v>
      </c>
      <c r="D27" s="5" t="s">
        <v>243</v>
      </c>
      <c r="E27" s="60">
        <v>25</v>
      </c>
      <c r="F27" s="71" t="s">
        <v>205</v>
      </c>
      <c r="G27" s="76" t="str">
        <f>IFERROR(IF(VLOOKUP(TableHandbook[[#This Row],[UDC]],TableAvailabilities[],2,FALSE)&gt;0,"Y",""),"")</f>
        <v/>
      </c>
      <c r="H27" s="77" t="str">
        <f>IFERROR(IF(VLOOKUP(TableHandbook[[#This Row],[UDC]],TableAvailabilities[],3,FALSE)&gt;0,"Y",""),"")</f>
        <v>Y</v>
      </c>
      <c r="I27" s="78" t="str">
        <f>IFERROR(IF(VLOOKUP(TableHandbook[[#This Row],[UDC]],TableAvailabilities[],4,FALSE)&gt;0,"Y",""),"")</f>
        <v/>
      </c>
      <c r="J27" s="79" t="str">
        <f>IFERROR(IF(VLOOKUP(TableHandbook[[#This Row],[UDC]],TableAvailabilities[],5,FALSE)&gt;0,"Y",""),"")</f>
        <v>Y</v>
      </c>
      <c r="K27" s="167"/>
      <c r="L27" s="183" t="str">
        <f>IFERROR(VLOOKUP(TableHandbook[[#This Row],[UDC]],TableEOINARCH[],7,FALSE),"")</f>
        <v/>
      </c>
      <c r="M27" s="184" t="str">
        <f>IFERROR(VLOOKUP(TableHandbook[[#This Row],[UDC]],TableEOINARCH1[],7,FALSE),"")</f>
        <v/>
      </c>
      <c r="N27" s="183" t="str">
        <f>IFERROR(VLOOKUP(TableHandbook[[#This Row],[UDC]],TableOUINDSGN[],7,FALSE),"")</f>
        <v/>
      </c>
      <c r="O27" s="184" t="str">
        <f>IFERROR(VLOOKUP(TableHandbook[[#This Row],[UDC]],TableOBINDSGN[],7,FALSE),"")</f>
        <v/>
      </c>
      <c r="P27" s="73" t="str">
        <f>IFERROR(VLOOKUP(TableHandbook[[#This Row],[UDC]],TableOSCUANGAD[],7,FALSE),"")</f>
        <v>Core</v>
      </c>
      <c r="Q27" s="74" t="str">
        <f>IFERROR(VLOOKUP(TableHandbook[[#This Row],[UDC]],TableOSCUCONMS[],7,FALSE),"")</f>
        <v/>
      </c>
      <c r="R27" s="74" t="str">
        <f>IFERROR(VLOOKUP(TableHandbook[[#This Row],[UDC]],TableOSCUDIGDE[],7,FALSE),"")</f>
        <v/>
      </c>
      <c r="S27" s="74" t="str">
        <f>IFERROR(VLOOKUP(TableHandbook[[#This Row],[UDC]],TableOSCUPLGEO[],7,FALSE),"")</f>
        <v/>
      </c>
      <c r="T27" s="74" t="str">
        <f>IFERROR(VLOOKUP(TableHandbook[[#This Row],[UDC]],TableOSEUARCHT[],7,FALSE),"")</f>
        <v/>
      </c>
    </row>
    <row r="28" spans="1:20" x14ac:dyDescent="0.25">
      <c r="A28" s="5" t="s">
        <v>171</v>
      </c>
      <c r="B28" s="60">
        <v>3</v>
      </c>
      <c r="C28" s="60" t="s">
        <v>244</v>
      </c>
      <c r="D28" s="5" t="s">
        <v>245</v>
      </c>
      <c r="E28" s="60">
        <v>25</v>
      </c>
      <c r="F28" s="71" t="s">
        <v>246</v>
      </c>
      <c r="G28" s="76" t="str">
        <f>IFERROR(IF(VLOOKUP(TableHandbook[[#This Row],[UDC]],TableAvailabilities[],2,FALSE)&gt;0,"Y",""),"")</f>
        <v>Y</v>
      </c>
      <c r="H28" s="77" t="str">
        <f>IFERROR(IF(VLOOKUP(TableHandbook[[#This Row],[UDC]],TableAvailabilities[],3,FALSE)&gt;0,"Y",""),"")</f>
        <v/>
      </c>
      <c r="I28" s="78" t="str">
        <f>IFERROR(IF(VLOOKUP(TableHandbook[[#This Row],[UDC]],TableAvailabilities[],4,FALSE)&gt;0,"Y",""),"")</f>
        <v>Y</v>
      </c>
      <c r="J28" s="79" t="str">
        <f>IFERROR(IF(VLOOKUP(TableHandbook[[#This Row],[UDC]],TableAvailabilities[],5,FALSE)&gt;0,"Y",""),"")</f>
        <v/>
      </c>
      <c r="K28" s="167"/>
      <c r="L28" s="183" t="str">
        <f>IFERROR(VLOOKUP(TableHandbook[[#This Row],[UDC]],TableEOINARCH[],7,FALSE),"")</f>
        <v/>
      </c>
      <c r="M28" s="184" t="str">
        <f>IFERROR(VLOOKUP(TableHandbook[[#This Row],[UDC]],TableEOINARCH1[],7,FALSE),"")</f>
        <v/>
      </c>
      <c r="N28" s="183" t="str">
        <f>IFERROR(VLOOKUP(TableHandbook[[#This Row],[UDC]],TableOUINDSGN[],7,FALSE),"")</f>
        <v/>
      </c>
      <c r="O28" s="184" t="str">
        <f>IFERROR(VLOOKUP(TableHandbook[[#This Row],[UDC]],TableOBINDSGN[],7,FALSE),"")</f>
        <v/>
      </c>
      <c r="P28" s="73" t="str">
        <f>IFERROR(VLOOKUP(TableHandbook[[#This Row],[UDC]],TableOSCUANGAD[],7,FALSE),"")</f>
        <v/>
      </c>
      <c r="Q28" s="74" t="str">
        <f>IFERROR(VLOOKUP(TableHandbook[[#This Row],[UDC]],TableOSCUCONMS[],7,FALSE),"")</f>
        <v/>
      </c>
      <c r="R28" s="74" t="str">
        <f>IFERROR(VLOOKUP(TableHandbook[[#This Row],[UDC]],TableOSCUDIGDE[],7,FALSE),"")</f>
        <v>Core</v>
      </c>
      <c r="S28" s="74" t="str">
        <f>IFERROR(VLOOKUP(TableHandbook[[#This Row],[UDC]],TableOSCUPLGEO[],7,FALSE),"")</f>
        <v/>
      </c>
      <c r="T28" s="74" t="str">
        <f>IFERROR(VLOOKUP(TableHandbook[[#This Row],[UDC]],TableOSEUARCHT[],7,FALSE),"")</f>
        <v/>
      </c>
    </row>
    <row r="29" spans="1:20" x14ac:dyDescent="0.25">
      <c r="A29" s="5" t="s">
        <v>175</v>
      </c>
      <c r="B29" s="60">
        <v>3</v>
      </c>
      <c r="C29" s="60" t="s">
        <v>247</v>
      </c>
      <c r="D29" s="5" t="s">
        <v>248</v>
      </c>
      <c r="E29" s="60">
        <v>25</v>
      </c>
      <c r="F29" s="71" t="s">
        <v>244</v>
      </c>
      <c r="G29" s="76" t="str">
        <f>IFERROR(IF(VLOOKUP(TableHandbook[[#This Row],[UDC]],TableAvailabilities[],2,FALSE)&gt;0,"Y",""),"")</f>
        <v/>
      </c>
      <c r="H29" s="77" t="str">
        <f>IFERROR(IF(VLOOKUP(TableHandbook[[#This Row],[UDC]],TableAvailabilities[],3,FALSE)&gt;0,"Y",""),"")</f>
        <v>Y</v>
      </c>
      <c r="I29" s="78" t="str">
        <f>IFERROR(IF(VLOOKUP(TableHandbook[[#This Row],[UDC]],TableAvailabilities[],4,FALSE)&gt;0,"Y",""),"")</f>
        <v/>
      </c>
      <c r="J29" s="79" t="str">
        <f>IFERROR(IF(VLOOKUP(TableHandbook[[#This Row],[UDC]],TableAvailabilities[],5,FALSE)&gt;0,"Y",""),"")</f>
        <v>Y</v>
      </c>
      <c r="K29" s="167"/>
      <c r="L29" s="183" t="str">
        <f>IFERROR(VLOOKUP(TableHandbook[[#This Row],[UDC]],TableEOINARCH[],7,FALSE),"")</f>
        <v/>
      </c>
      <c r="M29" s="184" t="str">
        <f>IFERROR(VLOOKUP(TableHandbook[[#This Row],[UDC]],TableEOINARCH1[],7,FALSE),"")</f>
        <v/>
      </c>
      <c r="N29" s="183" t="str">
        <f>IFERROR(VLOOKUP(TableHandbook[[#This Row],[UDC]],TableOUINDSGN[],7,FALSE),"")</f>
        <v/>
      </c>
      <c r="O29" s="184" t="str">
        <f>IFERROR(VLOOKUP(TableHandbook[[#This Row],[UDC]],TableOBINDSGN[],7,FALSE),"")</f>
        <v/>
      </c>
      <c r="P29" s="73" t="str">
        <f>IFERROR(VLOOKUP(TableHandbook[[#This Row],[UDC]],TableOSCUANGAD[],7,FALSE),"")</f>
        <v/>
      </c>
      <c r="Q29" s="74" t="str">
        <f>IFERROR(VLOOKUP(TableHandbook[[#This Row],[UDC]],TableOSCUCONMS[],7,FALSE),"")</f>
        <v/>
      </c>
      <c r="R29" s="74" t="str">
        <f>IFERROR(VLOOKUP(TableHandbook[[#This Row],[UDC]],TableOSCUDIGDE[],7,FALSE),"")</f>
        <v>Core</v>
      </c>
      <c r="S29" s="74" t="str">
        <f>IFERROR(VLOOKUP(TableHandbook[[#This Row],[UDC]],TableOSCUPLGEO[],7,FALSE),"")</f>
        <v/>
      </c>
      <c r="T29" s="74" t="str">
        <f>IFERROR(VLOOKUP(TableHandbook[[#This Row],[UDC]],TableOSEUARCHT[],7,FALSE),"")</f>
        <v/>
      </c>
    </row>
    <row r="30" spans="1:20" x14ac:dyDescent="0.25">
      <c r="A30" s="5" t="s">
        <v>162</v>
      </c>
      <c r="B30" s="60">
        <v>1</v>
      </c>
      <c r="C30" s="60" t="s">
        <v>249</v>
      </c>
      <c r="D30" s="5" t="s">
        <v>250</v>
      </c>
      <c r="E30" s="60">
        <v>25</v>
      </c>
      <c r="F30" s="71" t="s">
        <v>251</v>
      </c>
      <c r="G30" s="76" t="str">
        <f>IFERROR(IF(VLOOKUP(TableHandbook[[#This Row],[UDC]],TableAvailabilities[],2,FALSE)&gt;0,"Y",""),"")</f>
        <v>Y</v>
      </c>
      <c r="H30" s="77" t="str">
        <f>IFERROR(IF(VLOOKUP(TableHandbook[[#This Row],[UDC]],TableAvailabilities[],3,FALSE)&gt;0,"Y",""),"")</f>
        <v/>
      </c>
      <c r="I30" s="78" t="str">
        <f>IFERROR(IF(VLOOKUP(TableHandbook[[#This Row],[UDC]],TableAvailabilities[],4,FALSE)&gt;0,"Y",""),"")</f>
        <v>Y</v>
      </c>
      <c r="J30" s="79" t="str">
        <f>IFERROR(IF(VLOOKUP(TableHandbook[[#This Row],[UDC]],TableAvailabilities[],5,FALSE)&gt;0,"Y",""),"")</f>
        <v/>
      </c>
      <c r="K30" s="167"/>
      <c r="L30" s="183" t="str">
        <f>IFERROR(VLOOKUP(TableHandbook[[#This Row],[UDC]],TableEOINARCH[],7,FALSE),"")</f>
        <v/>
      </c>
      <c r="M30" s="184" t="str">
        <f>IFERROR(VLOOKUP(TableHandbook[[#This Row],[UDC]],TableEOINARCH1[],7,FALSE),"")</f>
        <v/>
      </c>
      <c r="N30" s="183" t="str">
        <f>IFERROR(VLOOKUP(TableHandbook[[#This Row],[UDC]],TableOUINDSGN[],7,FALSE),"")</f>
        <v/>
      </c>
      <c r="O30" s="184" t="str">
        <f>IFERROR(VLOOKUP(TableHandbook[[#This Row],[UDC]],TableOBINDSGN[],7,FALSE),"")</f>
        <v/>
      </c>
      <c r="P30" s="73" t="str">
        <f>IFERROR(VLOOKUP(TableHandbook[[#This Row],[UDC]],TableOSCUANGAD[],7,FALSE),"")</f>
        <v>Core</v>
      </c>
      <c r="Q30" s="74" t="str">
        <f>IFERROR(VLOOKUP(TableHandbook[[#This Row],[UDC]],TableOSCUCONMS[],7,FALSE),"")</f>
        <v/>
      </c>
      <c r="R30" s="74" t="str">
        <f>IFERROR(VLOOKUP(TableHandbook[[#This Row],[UDC]],TableOSCUDIGDE[],7,FALSE),"")</f>
        <v/>
      </c>
      <c r="S30" s="74" t="str">
        <f>IFERROR(VLOOKUP(TableHandbook[[#This Row],[UDC]],TableOSCUPLGEO[],7,FALSE),"")</f>
        <v/>
      </c>
      <c r="T30" s="74" t="str">
        <f>IFERROR(VLOOKUP(TableHandbook[[#This Row],[UDC]],TableOSEUARCHT[],7,FALSE),"")</f>
        <v/>
      </c>
    </row>
    <row r="31" spans="1:20" x14ac:dyDescent="0.25">
      <c r="A31" s="5" t="s">
        <v>168</v>
      </c>
      <c r="B31" s="60">
        <v>1</v>
      </c>
      <c r="C31" s="60" t="s">
        <v>252</v>
      </c>
      <c r="D31" s="5" t="s">
        <v>253</v>
      </c>
      <c r="E31" s="60">
        <v>25</v>
      </c>
      <c r="F31" s="71" t="s">
        <v>205</v>
      </c>
      <c r="G31" s="76" t="str">
        <f>IFERROR(IF(VLOOKUP(TableHandbook[[#This Row],[UDC]],TableAvailabilities[],2,FALSE)&gt;0,"Y",""),"")</f>
        <v/>
      </c>
      <c r="H31" s="77" t="str">
        <f>IFERROR(IF(VLOOKUP(TableHandbook[[#This Row],[UDC]],TableAvailabilities[],3,FALSE)&gt;0,"Y",""),"")</f>
        <v>Y</v>
      </c>
      <c r="I31" s="78" t="str">
        <f>IFERROR(IF(VLOOKUP(TableHandbook[[#This Row],[UDC]],TableAvailabilities[],4,FALSE)&gt;0,"Y",""),"")</f>
        <v/>
      </c>
      <c r="J31" s="79" t="str">
        <f>IFERROR(IF(VLOOKUP(TableHandbook[[#This Row],[UDC]],TableAvailabilities[],5,FALSE)&gt;0,"Y",""),"")</f>
        <v>Y</v>
      </c>
      <c r="K31" s="167"/>
      <c r="L31" s="183" t="str">
        <f>IFERROR(VLOOKUP(TableHandbook[[#This Row],[UDC]],TableEOINARCH[],7,FALSE),"")</f>
        <v/>
      </c>
      <c r="M31" s="184" t="str">
        <f>IFERROR(VLOOKUP(TableHandbook[[#This Row],[UDC]],TableEOINARCH1[],7,FALSE),"")</f>
        <v/>
      </c>
      <c r="N31" s="183" t="str">
        <f>IFERROR(VLOOKUP(TableHandbook[[#This Row],[UDC]],TableOUINDSGN[],7,FALSE),"")</f>
        <v/>
      </c>
      <c r="O31" s="184" t="str">
        <f>IFERROR(VLOOKUP(TableHandbook[[#This Row],[UDC]],TableOBINDSGN[],7,FALSE),"")</f>
        <v/>
      </c>
      <c r="P31" s="73" t="str">
        <f>IFERROR(VLOOKUP(TableHandbook[[#This Row],[UDC]],TableOSCUANGAD[],7,FALSE),"")</f>
        <v>Core</v>
      </c>
      <c r="Q31" s="74" t="str">
        <f>IFERROR(VLOOKUP(TableHandbook[[#This Row],[UDC]],TableOSCUCONMS[],7,FALSE),"")</f>
        <v/>
      </c>
      <c r="R31" s="74" t="str">
        <f>IFERROR(VLOOKUP(TableHandbook[[#This Row],[UDC]],TableOSCUDIGDE[],7,FALSE),"")</f>
        <v/>
      </c>
      <c r="S31" s="74" t="str">
        <f>IFERROR(VLOOKUP(TableHandbook[[#This Row],[UDC]],TableOSCUPLGEO[],7,FALSE),"")</f>
        <v/>
      </c>
      <c r="T31" s="74" t="str">
        <f>IFERROR(VLOOKUP(TableHandbook[[#This Row],[UDC]],TableOSEUARCHT[],7,FALSE),"")</f>
        <v/>
      </c>
    </row>
    <row r="32" spans="1:20" x14ac:dyDescent="0.25">
      <c r="A32" s="5" t="s">
        <v>109</v>
      </c>
      <c r="B32" s="60">
        <v>1</v>
      </c>
      <c r="C32" s="60" t="s">
        <v>254</v>
      </c>
      <c r="D32" s="5" t="s">
        <v>255</v>
      </c>
      <c r="E32" s="60">
        <v>25</v>
      </c>
      <c r="F32" s="71" t="s">
        <v>208</v>
      </c>
      <c r="G32" s="76" t="str">
        <f>IFERROR(IF(VLOOKUP(TableHandbook[[#This Row],[UDC]],TableAvailabilities[],2,FALSE)&gt;0,"Y",""),"")</f>
        <v/>
      </c>
      <c r="H32" s="77" t="str">
        <f>IFERROR(IF(VLOOKUP(TableHandbook[[#This Row],[UDC]],TableAvailabilities[],3,FALSE)&gt;0,"Y",""),"")</f>
        <v/>
      </c>
      <c r="I32" s="78" t="str">
        <f>IFERROR(IF(VLOOKUP(TableHandbook[[#This Row],[UDC]],TableAvailabilities[],4,FALSE)&gt;0,"Y",""),"")</f>
        <v/>
      </c>
      <c r="J32" s="79" t="str">
        <f>IFERROR(IF(VLOOKUP(TableHandbook[[#This Row],[UDC]],TableAvailabilities[],5,FALSE)&gt;0,"Y",""),"")</f>
        <v/>
      </c>
      <c r="K32" s="167"/>
      <c r="L32" s="183" t="str">
        <f>IFERROR(VLOOKUP(TableHandbook[[#This Row],[UDC]],TableEOINARCH[],7,FALSE),"")</f>
        <v>Core</v>
      </c>
      <c r="M32" s="184" t="str">
        <f>IFERROR(VLOOKUP(TableHandbook[[#This Row],[UDC]],TableEOINARCH1[],7,FALSE),"")</f>
        <v>Core</v>
      </c>
      <c r="N32" s="183" t="str">
        <f>IFERROR(VLOOKUP(TableHandbook[[#This Row],[UDC]],TableOUINDSGN[],7,FALSE),"")</f>
        <v>Core</v>
      </c>
      <c r="O32" s="184" t="str">
        <f>IFERROR(VLOOKUP(TableHandbook[[#This Row],[UDC]],TableOBINDSGN[],7,FALSE),"")</f>
        <v>Core</v>
      </c>
      <c r="P32" s="73" t="str">
        <f>IFERROR(VLOOKUP(TableHandbook[[#This Row],[UDC]],TableOSCUANGAD[],7,FALSE),"")</f>
        <v/>
      </c>
      <c r="Q32" s="74" t="str">
        <f>IFERROR(VLOOKUP(TableHandbook[[#This Row],[UDC]],TableOSCUCONMS[],7,FALSE),"")</f>
        <v/>
      </c>
      <c r="R32" s="74" t="str">
        <f>IFERROR(VLOOKUP(TableHandbook[[#This Row],[UDC]],TableOSCUDIGDE[],7,FALSE),"")</f>
        <v/>
      </c>
      <c r="S32" s="74" t="str">
        <f>IFERROR(VLOOKUP(TableHandbook[[#This Row],[UDC]],TableOSCUPLGEO[],7,FALSE),"")</f>
        <v/>
      </c>
      <c r="T32" s="74" t="str">
        <f>IFERROR(VLOOKUP(TableHandbook[[#This Row],[UDC]],TableOSEUARCHT[],7,FALSE),"")</f>
        <v/>
      </c>
    </row>
    <row r="33" spans="1:20" x14ac:dyDescent="0.25">
      <c r="A33" s="5" t="s">
        <v>182</v>
      </c>
      <c r="B33" s="60">
        <v>2</v>
      </c>
      <c r="C33" s="60" t="s">
        <v>256</v>
      </c>
      <c r="D33" s="5" t="s">
        <v>257</v>
      </c>
      <c r="E33" s="60">
        <v>25</v>
      </c>
      <c r="F33" s="209" t="s">
        <v>258</v>
      </c>
      <c r="G33" s="76" t="str">
        <f>IFERROR(IF(VLOOKUP(TableHandbook[[#This Row],[UDC]],TableAvailabilities[],2,FALSE)&gt;0,"Y",""),"")</f>
        <v>Y</v>
      </c>
      <c r="H33" s="77" t="str">
        <f>IFERROR(IF(VLOOKUP(TableHandbook[[#This Row],[UDC]],TableAvailabilities[],3,FALSE)&gt;0,"Y",""),"")</f>
        <v/>
      </c>
      <c r="I33" s="78" t="str">
        <f>IFERROR(IF(VLOOKUP(TableHandbook[[#This Row],[UDC]],TableAvailabilities[],4,FALSE)&gt;0,"Y",""),"")</f>
        <v>Y</v>
      </c>
      <c r="J33" s="79" t="str">
        <f>IFERROR(IF(VLOOKUP(TableHandbook[[#This Row],[UDC]],TableAvailabilities[],5,FALSE)&gt;0,"Y",""),"")</f>
        <v/>
      </c>
      <c r="K33" s="208" t="s">
        <v>259</v>
      </c>
      <c r="L33" s="183" t="str">
        <f>IFERROR(VLOOKUP(TableHandbook[[#This Row],[UDC]],TableEOINARCH[],7,FALSE),"")</f>
        <v/>
      </c>
      <c r="M33" s="184" t="str">
        <f>IFERROR(VLOOKUP(TableHandbook[[#This Row],[UDC]],TableEOINARCH1[],7,FALSE),"")</f>
        <v/>
      </c>
      <c r="N33" s="183" t="str">
        <f>IFERROR(VLOOKUP(TableHandbook[[#This Row],[UDC]],TableOUINDSGN[],7,FALSE),"")</f>
        <v/>
      </c>
      <c r="O33" s="184" t="str">
        <f>IFERROR(VLOOKUP(TableHandbook[[#This Row],[UDC]],TableOBINDSGN[],7,FALSE),"")</f>
        <v/>
      </c>
      <c r="P33" s="73" t="str">
        <f>IFERROR(VLOOKUP(TableHandbook[[#This Row],[UDC]],TableOSCUANGAD[],7,FALSE),"")</f>
        <v>AltCore</v>
      </c>
      <c r="Q33" s="74" t="str">
        <f>IFERROR(VLOOKUP(TableHandbook[[#This Row],[UDC]],TableOSCUCONMS[],7,FALSE),"")</f>
        <v/>
      </c>
      <c r="R33" s="74" t="str">
        <f>IFERROR(VLOOKUP(TableHandbook[[#This Row],[UDC]],TableOSCUDIGDE[],7,FALSE),"")</f>
        <v/>
      </c>
      <c r="S33" s="74" t="str">
        <f>IFERROR(VLOOKUP(TableHandbook[[#This Row],[UDC]],TableOSCUPLGEO[],7,FALSE),"")</f>
        <v/>
      </c>
      <c r="T33" s="74" t="str">
        <f>IFERROR(VLOOKUP(TableHandbook[[#This Row],[UDC]],TableOSEUARCHT[],7,FALSE),"")</f>
        <v/>
      </c>
    </row>
    <row r="34" spans="1:20" x14ac:dyDescent="0.25">
      <c r="A34" s="5" t="s">
        <v>165</v>
      </c>
      <c r="B34" s="60">
        <v>2</v>
      </c>
      <c r="C34" s="60" t="s">
        <v>260</v>
      </c>
      <c r="D34" s="5" t="s">
        <v>261</v>
      </c>
      <c r="E34" s="60">
        <v>25</v>
      </c>
      <c r="F34" s="71" t="s">
        <v>246</v>
      </c>
      <c r="G34" s="76" t="str">
        <f>IFERROR(IF(VLOOKUP(TableHandbook[[#This Row],[UDC]],TableAvailabilities[],2,FALSE)&gt;0,"Y",""),"")</f>
        <v>Y</v>
      </c>
      <c r="H34" s="77" t="str">
        <f>IFERROR(IF(VLOOKUP(TableHandbook[[#This Row],[UDC]],TableAvailabilities[],3,FALSE)&gt;0,"Y",""),"")</f>
        <v/>
      </c>
      <c r="I34" s="78" t="str">
        <f>IFERROR(IF(VLOOKUP(TableHandbook[[#This Row],[UDC]],TableAvailabilities[],4,FALSE)&gt;0,"Y",""),"")</f>
        <v>Y</v>
      </c>
      <c r="J34" s="79" t="str">
        <f>IFERROR(IF(VLOOKUP(TableHandbook[[#This Row],[UDC]],TableAvailabilities[],5,FALSE)&gt;0,"Y",""),"")</f>
        <v/>
      </c>
      <c r="K34" s="167"/>
      <c r="L34" s="183" t="str">
        <f>IFERROR(VLOOKUP(TableHandbook[[#This Row],[UDC]],TableEOINARCH[],7,FALSE),"")</f>
        <v/>
      </c>
      <c r="M34" s="184" t="str">
        <f>IFERROR(VLOOKUP(TableHandbook[[#This Row],[UDC]],TableEOINARCH1[],7,FALSE),"")</f>
        <v/>
      </c>
      <c r="N34" s="183" t="str">
        <f>IFERROR(VLOOKUP(TableHandbook[[#This Row],[UDC]],TableOUINDSGN[],7,FALSE),"")</f>
        <v/>
      </c>
      <c r="O34" s="184" t="str">
        <f>IFERROR(VLOOKUP(TableHandbook[[#This Row],[UDC]],TableOBINDSGN[],7,FALSE),"")</f>
        <v/>
      </c>
      <c r="P34" s="73" t="str">
        <f>IFERROR(VLOOKUP(TableHandbook[[#This Row],[UDC]],TableOSCUANGAD[],7,FALSE),"")</f>
        <v/>
      </c>
      <c r="Q34" s="74" t="str">
        <f>IFERROR(VLOOKUP(TableHandbook[[#This Row],[UDC]],TableOSCUCONMS[],7,FALSE),"")</f>
        <v/>
      </c>
      <c r="R34" s="74" t="str">
        <f>IFERROR(VLOOKUP(TableHandbook[[#This Row],[UDC]],TableOSCUDIGDE[],7,FALSE),"")</f>
        <v>Core</v>
      </c>
      <c r="S34" s="74" t="str">
        <f>IFERROR(VLOOKUP(TableHandbook[[#This Row],[UDC]],TableOSCUPLGEO[],7,FALSE),"")</f>
        <v/>
      </c>
      <c r="T34" s="74" t="str">
        <f>IFERROR(VLOOKUP(TableHandbook[[#This Row],[UDC]],TableOSEUARCHT[],7,FALSE),"")</f>
        <v/>
      </c>
    </row>
    <row r="35" spans="1:20" x14ac:dyDescent="0.25">
      <c r="A35" s="5" t="s">
        <v>73</v>
      </c>
      <c r="B35" s="60">
        <v>4</v>
      </c>
      <c r="C35" s="60" t="s">
        <v>262</v>
      </c>
      <c r="D35" s="5" t="s">
        <v>263</v>
      </c>
      <c r="E35" s="60">
        <v>25</v>
      </c>
      <c r="F35" s="71" t="s">
        <v>205</v>
      </c>
      <c r="G35" s="76" t="str">
        <f>IFERROR(IF(VLOOKUP(TableHandbook[[#This Row],[UDC]],TableAvailabilities[],2,FALSE)&gt;0,"Y",""),"")</f>
        <v>Y</v>
      </c>
      <c r="H35" s="77" t="str">
        <f>IFERROR(IF(VLOOKUP(TableHandbook[[#This Row],[UDC]],TableAvailabilities[],3,FALSE)&gt;0,"Y",""),"")</f>
        <v/>
      </c>
      <c r="I35" s="78" t="str">
        <f>IFERROR(IF(VLOOKUP(TableHandbook[[#This Row],[UDC]],TableAvailabilities[],4,FALSE)&gt;0,"Y",""),"")</f>
        <v>Y</v>
      </c>
      <c r="J35" s="79" t="str">
        <f>IFERROR(IF(VLOOKUP(TableHandbook[[#This Row],[UDC]],TableAvailabilities[],5,FALSE)&gt;0,"Y",""),"")</f>
        <v/>
      </c>
      <c r="K35" s="167"/>
      <c r="L35" s="183" t="str">
        <f>IFERROR(VLOOKUP(TableHandbook[[#This Row],[UDC]],TableEOINARCH[],7,FALSE),"")</f>
        <v>Core</v>
      </c>
      <c r="M35" s="184" t="str">
        <f>IFERROR(VLOOKUP(TableHandbook[[#This Row],[UDC]],TableEOINARCH1[],7,FALSE),"")</f>
        <v>Core</v>
      </c>
      <c r="N35" s="183" t="str">
        <f>IFERROR(VLOOKUP(TableHandbook[[#This Row],[UDC]],TableOUINDSGN[],7,FALSE),"")</f>
        <v>Core</v>
      </c>
      <c r="O35" s="184" t="str">
        <f>IFERROR(VLOOKUP(TableHandbook[[#This Row],[UDC]],TableOBINDSGN[],7,FALSE),"")</f>
        <v>Core</v>
      </c>
      <c r="P35" s="73" t="str">
        <f>IFERROR(VLOOKUP(TableHandbook[[#This Row],[UDC]],TableOSCUANGAD[],7,FALSE),"")</f>
        <v/>
      </c>
      <c r="Q35" s="74" t="str">
        <f>IFERROR(VLOOKUP(TableHandbook[[#This Row],[UDC]],TableOSCUCONMS[],7,FALSE),"")</f>
        <v/>
      </c>
      <c r="R35" s="74" t="str">
        <f>IFERROR(VLOOKUP(TableHandbook[[#This Row],[UDC]],TableOSCUDIGDE[],7,FALSE),"")</f>
        <v/>
      </c>
      <c r="S35" s="74" t="str">
        <f>IFERROR(VLOOKUP(TableHandbook[[#This Row],[UDC]],TableOSCUPLGEO[],7,FALSE),"")</f>
        <v/>
      </c>
      <c r="T35" s="74" t="str">
        <f>IFERROR(VLOOKUP(TableHandbook[[#This Row],[UDC]],TableOSEUARCHT[],7,FALSE),"")</f>
        <v/>
      </c>
    </row>
    <row r="36" spans="1:20" x14ac:dyDescent="0.25">
      <c r="A36" s="5" t="s">
        <v>87</v>
      </c>
      <c r="B36" s="60">
        <v>1</v>
      </c>
      <c r="C36" s="60" t="s">
        <v>264</v>
      </c>
      <c r="D36" s="5" t="s">
        <v>265</v>
      </c>
      <c r="E36" s="60">
        <v>25</v>
      </c>
      <c r="F36" s="71" t="s">
        <v>205</v>
      </c>
      <c r="G36" s="76" t="str">
        <f>IFERROR(IF(VLOOKUP(TableHandbook[[#This Row],[UDC]],TableAvailabilities[],2,FALSE)&gt;0,"Y",""),"")</f>
        <v>Y</v>
      </c>
      <c r="H36" s="77" t="str">
        <f>IFERROR(IF(VLOOKUP(TableHandbook[[#This Row],[UDC]],TableAvailabilities[],3,FALSE)&gt;0,"Y",""),"")</f>
        <v/>
      </c>
      <c r="I36" s="78" t="str">
        <f>IFERROR(IF(VLOOKUP(TableHandbook[[#This Row],[UDC]],TableAvailabilities[],4,FALSE)&gt;0,"Y",""),"")</f>
        <v>Y</v>
      </c>
      <c r="J36" s="79" t="str">
        <f>IFERROR(IF(VLOOKUP(TableHandbook[[#This Row],[UDC]],TableAvailabilities[],5,FALSE)&gt;0,"Y",""),"")</f>
        <v/>
      </c>
      <c r="K36" s="167"/>
      <c r="L36" s="183" t="str">
        <f>IFERROR(VLOOKUP(TableHandbook[[#This Row],[UDC]],TableEOINARCH[],7,FALSE),"")</f>
        <v>Core</v>
      </c>
      <c r="M36" s="184" t="str">
        <f>IFERROR(VLOOKUP(TableHandbook[[#This Row],[UDC]],TableEOINARCH1[],7,FALSE),"")</f>
        <v>Core</v>
      </c>
      <c r="N36" s="183" t="str">
        <f>IFERROR(VLOOKUP(TableHandbook[[#This Row],[UDC]],TableOUINDSGN[],7,FALSE),"")</f>
        <v>Core</v>
      </c>
      <c r="O36" s="184" t="str">
        <f>IFERROR(VLOOKUP(TableHandbook[[#This Row],[UDC]],TableOBINDSGN[],7,FALSE),"")</f>
        <v>Core</v>
      </c>
      <c r="P36" s="73" t="str">
        <f>IFERROR(VLOOKUP(TableHandbook[[#This Row],[UDC]],TableOSCUANGAD[],7,FALSE),"")</f>
        <v/>
      </c>
      <c r="Q36" s="74" t="str">
        <f>IFERROR(VLOOKUP(TableHandbook[[#This Row],[UDC]],TableOSCUCONMS[],7,FALSE),"")</f>
        <v/>
      </c>
      <c r="R36" s="74" t="str">
        <f>IFERROR(VLOOKUP(TableHandbook[[#This Row],[UDC]],TableOSCUDIGDE[],7,FALSE),"")</f>
        <v/>
      </c>
      <c r="S36" s="74" t="str">
        <f>IFERROR(VLOOKUP(TableHandbook[[#This Row],[UDC]],TableOSCUPLGEO[],7,FALSE),"")</f>
        <v/>
      </c>
      <c r="T36" s="74" t="str">
        <f>IFERROR(VLOOKUP(TableHandbook[[#This Row],[UDC]],TableOSEUARCHT[],7,FALSE),"")</f>
        <v/>
      </c>
    </row>
    <row r="37" spans="1:20" x14ac:dyDescent="0.25">
      <c r="A37" s="5" t="s">
        <v>100</v>
      </c>
      <c r="B37" s="60">
        <v>4</v>
      </c>
      <c r="C37" s="60" t="s">
        <v>266</v>
      </c>
      <c r="D37" s="5" t="s">
        <v>267</v>
      </c>
      <c r="E37" s="60">
        <v>25</v>
      </c>
      <c r="F37" s="71" t="s">
        <v>262</v>
      </c>
      <c r="G37" s="76" t="str">
        <f>IFERROR(IF(VLOOKUP(TableHandbook[[#This Row],[UDC]],TableAvailabilities[],2,FALSE)&gt;0,"Y",""),"")</f>
        <v/>
      </c>
      <c r="H37" s="77" t="str">
        <f>IFERROR(IF(VLOOKUP(TableHandbook[[#This Row],[UDC]],TableAvailabilities[],3,FALSE)&gt;0,"Y",""),"")</f>
        <v/>
      </c>
      <c r="I37" s="78" t="str">
        <f>IFERROR(IF(VLOOKUP(TableHandbook[[#This Row],[UDC]],TableAvailabilities[],4,FALSE)&gt;0,"Y",""),"")</f>
        <v/>
      </c>
      <c r="J37" s="79" t="str">
        <f>IFERROR(IF(VLOOKUP(TableHandbook[[#This Row],[UDC]],TableAvailabilities[],5,FALSE)&gt;0,"Y",""),"")</f>
        <v/>
      </c>
      <c r="K37" s="167"/>
      <c r="L37" s="183" t="str">
        <f>IFERROR(VLOOKUP(TableHandbook[[#This Row],[UDC]],TableEOINARCH[],7,FALSE),"")</f>
        <v>Core</v>
      </c>
      <c r="M37" s="184" t="str">
        <f>IFERROR(VLOOKUP(TableHandbook[[#This Row],[UDC]],TableEOINARCH1[],7,FALSE),"")</f>
        <v>Core</v>
      </c>
      <c r="N37" s="183" t="str">
        <f>IFERROR(VLOOKUP(TableHandbook[[#This Row],[UDC]],TableOUINDSGN[],7,FALSE),"")</f>
        <v>Core</v>
      </c>
      <c r="O37" s="184" t="str">
        <f>IFERROR(VLOOKUP(TableHandbook[[#This Row],[UDC]],TableOBINDSGN[],7,FALSE),"")</f>
        <v>Core</v>
      </c>
      <c r="P37" s="73" t="str">
        <f>IFERROR(VLOOKUP(TableHandbook[[#This Row],[UDC]],TableOSCUANGAD[],7,FALSE),"")</f>
        <v/>
      </c>
      <c r="Q37" s="74" t="str">
        <f>IFERROR(VLOOKUP(TableHandbook[[#This Row],[UDC]],TableOSCUCONMS[],7,FALSE),"")</f>
        <v/>
      </c>
      <c r="R37" s="74" t="str">
        <f>IFERROR(VLOOKUP(TableHandbook[[#This Row],[UDC]],TableOSCUDIGDE[],7,FALSE),"")</f>
        <v/>
      </c>
      <c r="S37" s="74" t="str">
        <f>IFERROR(VLOOKUP(TableHandbook[[#This Row],[UDC]],TableOSCUPLGEO[],7,FALSE),"")</f>
        <v/>
      </c>
      <c r="T37" s="74" t="str">
        <f>IFERROR(VLOOKUP(TableHandbook[[#This Row],[UDC]],TableOSEUARCHT[],7,FALSE),"")</f>
        <v/>
      </c>
    </row>
    <row r="38" spans="1:20" x14ac:dyDescent="0.25">
      <c r="A38" s="5" t="s">
        <v>92</v>
      </c>
      <c r="B38" s="60">
        <v>2</v>
      </c>
      <c r="C38" s="60" t="s">
        <v>268</v>
      </c>
      <c r="D38" s="5" t="s">
        <v>269</v>
      </c>
      <c r="E38" s="60">
        <v>25</v>
      </c>
      <c r="F38" s="71" t="s">
        <v>270</v>
      </c>
      <c r="G38" s="76" t="str">
        <f>IFERROR(IF(VLOOKUP(TableHandbook[[#This Row],[UDC]],TableAvailabilities[],2,FALSE)&gt;0,"Y",""),"")</f>
        <v>Y</v>
      </c>
      <c r="H38" s="77" t="str">
        <f>IFERROR(IF(VLOOKUP(TableHandbook[[#This Row],[UDC]],TableAvailabilities[],3,FALSE)&gt;0,"Y",""),"")</f>
        <v/>
      </c>
      <c r="I38" s="78" t="str">
        <f>IFERROR(IF(VLOOKUP(TableHandbook[[#This Row],[UDC]],TableAvailabilities[],4,FALSE)&gt;0,"Y",""),"")</f>
        <v>Y</v>
      </c>
      <c r="J38" s="79" t="str">
        <f>IFERROR(IF(VLOOKUP(TableHandbook[[#This Row],[UDC]],TableAvailabilities[],5,FALSE)&gt;0,"Y",""),"")</f>
        <v/>
      </c>
      <c r="K38" s="167"/>
      <c r="L38" s="183" t="str">
        <f>IFERROR(VLOOKUP(TableHandbook[[#This Row],[UDC]],TableEOINARCH[],7,FALSE),"")</f>
        <v>Core</v>
      </c>
      <c r="M38" s="184" t="str">
        <f>IFERROR(VLOOKUP(TableHandbook[[#This Row],[UDC]],TableEOINARCH1[],7,FALSE),"")</f>
        <v>Core</v>
      </c>
      <c r="N38" s="183" t="str">
        <f>IFERROR(VLOOKUP(TableHandbook[[#This Row],[UDC]],TableOUINDSGN[],7,FALSE),"")</f>
        <v>Core</v>
      </c>
      <c r="O38" s="184" t="str">
        <f>IFERROR(VLOOKUP(TableHandbook[[#This Row],[UDC]],TableOBINDSGN[],7,FALSE),"")</f>
        <v>Core</v>
      </c>
      <c r="P38" s="73" t="str">
        <f>IFERROR(VLOOKUP(TableHandbook[[#This Row],[UDC]],TableOSCUANGAD[],7,FALSE),"")</f>
        <v/>
      </c>
      <c r="Q38" s="74" t="str">
        <f>IFERROR(VLOOKUP(TableHandbook[[#This Row],[UDC]],TableOSCUCONMS[],7,FALSE),"")</f>
        <v/>
      </c>
      <c r="R38" s="74" t="str">
        <f>IFERROR(VLOOKUP(TableHandbook[[#This Row],[UDC]],TableOSCUDIGDE[],7,FALSE),"")</f>
        <v/>
      </c>
      <c r="S38" s="74" t="str">
        <f>IFERROR(VLOOKUP(TableHandbook[[#This Row],[UDC]],TableOSCUPLGEO[],7,FALSE),"")</f>
        <v/>
      </c>
      <c r="T38" s="74" t="str">
        <f>IFERROR(VLOOKUP(TableHandbook[[#This Row],[UDC]],TableOSEUARCHT[],7,FALSE),"")</f>
        <v/>
      </c>
    </row>
    <row r="39" spans="1:20" x14ac:dyDescent="0.25">
      <c r="A39" s="5" t="s">
        <v>93</v>
      </c>
      <c r="B39" s="60">
        <v>1</v>
      </c>
      <c r="C39" s="60" t="s">
        <v>271</v>
      </c>
      <c r="D39" s="5" t="s">
        <v>272</v>
      </c>
      <c r="E39" s="60">
        <v>25</v>
      </c>
      <c r="F39" s="71" t="s">
        <v>205</v>
      </c>
      <c r="G39" s="76" t="str">
        <f>IFERROR(IF(VLOOKUP(TableHandbook[[#This Row],[UDC]],TableAvailabilities[],2,FALSE)&gt;0,"Y",""),"")</f>
        <v/>
      </c>
      <c r="H39" s="77" t="str">
        <f>IFERROR(IF(VLOOKUP(TableHandbook[[#This Row],[UDC]],TableAvailabilities[],3,FALSE)&gt;0,"Y",""),"")</f>
        <v>Y</v>
      </c>
      <c r="I39" s="78" t="str">
        <f>IFERROR(IF(VLOOKUP(TableHandbook[[#This Row],[UDC]],TableAvailabilities[],4,FALSE)&gt;0,"Y",""),"")</f>
        <v/>
      </c>
      <c r="J39" s="79" t="str">
        <f>IFERROR(IF(VLOOKUP(TableHandbook[[#This Row],[UDC]],TableAvailabilities[],5,FALSE)&gt;0,"Y",""),"")</f>
        <v>Y</v>
      </c>
      <c r="K39" s="167"/>
      <c r="L39" s="183" t="str">
        <f>IFERROR(VLOOKUP(TableHandbook[[#This Row],[UDC]],TableEOINARCH[],7,FALSE),"")</f>
        <v>Core</v>
      </c>
      <c r="M39" s="184" t="str">
        <f>IFERROR(VLOOKUP(TableHandbook[[#This Row],[UDC]],TableEOINARCH1[],7,FALSE),"")</f>
        <v>Core</v>
      </c>
      <c r="N39" s="183" t="str">
        <f>IFERROR(VLOOKUP(TableHandbook[[#This Row],[UDC]],TableOUINDSGN[],7,FALSE),"")</f>
        <v>Core</v>
      </c>
      <c r="O39" s="184" t="str">
        <f>IFERROR(VLOOKUP(TableHandbook[[#This Row],[UDC]],TableOBINDSGN[],7,FALSE),"")</f>
        <v>Core</v>
      </c>
      <c r="P39" s="73" t="str">
        <f>IFERROR(VLOOKUP(TableHandbook[[#This Row],[UDC]],TableOSCUANGAD[],7,FALSE),"")</f>
        <v/>
      </c>
      <c r="Q39" s="74" t="str">
        <f>IFERROR(VLOOKUP(TableHandbook[[#This Row],[UDC]],TableOSCUCONMS[],7,FALSE),"")</f>
        <v/>
      </c>
      <c r="R39" s="74" t="str">
        <f>IFERROR(VLOOKUP(TableHandbook[[#This Row],[UDC]],TableOSCUDIGDE[],7,FALSE),"")</f>
        <v/>
      </c>
      <c r="S39" s="74" t="str">
        <f>IFERROR(VLOOKUP(TableHandbook[[#This Row],[UDC]],TableOSCUPLGEO[],7,FALSE),"")</f>
        <v/>
      </c>
      <c r="T39" s="74" t="str">
        <f>IFERROR(VLOOKUP(TableHandbook[[#This Row],[UDC]],TableOSEUARCHT[],7,FALSE),"")</f>
        <v/>
      </c>
    </row>
    <row r="40" spans="1:20" x14ac:dyDescent="0.25">
      <c r="A40" s="5" t="s">
        <v>119</v>
      </c>
      <c r="B40" s="60">
        <v>1</v>
      </c>
      <c r="C40" s="60" t="s">
        <v>273</v>
      </c>
      <c r="D40" s="5" t="s">
        <v>274</v>
      </c>
      <c r="E40" s="60">
        <v>25</v>
      </c>
      <c r="F40" s="71" t="s">
        <v>205</v>
      </c>
      <c r="G40" s="76" t="str">
        <f>IFERROR(IF(VLOOKUP(TableHandbook[[#This Row],[UDC]],TableAvailabilities[],2,FALSE)&gt;0,"Y",""),"")</f>
        <v/>
      </c>
      <c r="H40" s="77" t="str">
        <f>IFERROR(IF(VLOOKUP(TableHandbook[[#This Row],[UDC]],TableAvailabilities[],3,FALSE)&gt;0,"Y",""),"")</f>
        <v/>
      </c>
      <c r="I40" s="78" t="str">
        <f>IFERROR(IF(VLOOKUP(TableHandbook[[#This Row],[UDC]],TableAvailabilities[],4,FALSE)&gt;0,"Y",""),"")</f>
        <v/>
      </c>
      <c r="J40" s="79" t="str">
        <f>IFERROR(IF(VLOOKUP(TableHandbook[[#This Row],[UDC]],TableAvailabilities[],5,FALSE)&gt;0,"Y",""),"")</f>
        <v/>
      </c>
      <c r="K40" s="167"/>
      <c r="L40" s="183" t="str">
        <f>IFERROR(VLOOKUP(TableHandbook[[#This Row],[UDC]],TableEOINARCH[],7,FALSE),"")</f>
        <v>Core</v>
      </c>
      <c r="M40" s="184" t="str">
        <f>IFERROR(VLOOKUP(TableHandbook[[#This Row],[UDC]],TableEOINARCH1[],7,FALSE),"")</f>
        <v>Core</v>
      </c>
      <c r="N40" s="183" t="str">
        <f>IFERROR(VLOOKUP(TableHandbook[[#This Row],[UDC]],TableOUINDSGN[],7,FALSE),"")</f>
        <v>Core</v>
      </c>
      <c r="O40" s="184" t="str">
        <f>IFERROR(VLOOKUP(TableHandbook[[#This Row],[UDC]],TableOBINDSGN[],7,FALSE),"")</f>
        <v>Core</v>
      </c>
      <c r="P40" s="73" t="str">
        <f>IFERROR(VLOOKUP(TableHandbook[[#This Row],[UDC]],TableOSCUANGAD[],7,FALSE),"")</f>
        <v/>
      </c>
      <c r="Q40" s="74" t="str">
        <f>IFERROR(VLOOKUP(TableHandbook[[#This Row],[UDC]],TableOSCUCONMS[],7,FALSE),"")</f>
        <v/>
      </c>
      <c r="R40" s="74" t="str">
        <f>IFERROR(VLOOKUP(TableHandbook[[#This Row],[UDC]],TableOSCUDIGDE[],7,FALSE),"")</f>
        <v/>
      </c>
      <c r="S40" s="74" t="str">
        <f>IFERROR(VLOOKUP(TableHandbook[[#This Row],[UDC]],TableOSCUPLGEO[],7,FALSE),"")</f>
        <v/>
      </c>
      <c r="T40" s="74" t="str">
        <f>IFERROR(VLOOKUP(TableHandbook[[#This Row],[UDC]],TableOSEUARCHT[],7,FALSE),"")</f>
        <v/>
      </c>
    </row>
    <row r="41" spans="1:20" x14ac:dyDescent="0.25">
      <c r="A41" s="5" t="s">
        <v>128</v>
      </c>
      <c r="B41" s="60">
        <v>4</v>
      </c>
      <c r="C41" s="60" t="s">
        <v>275</v>
      </c>
      <c r="D41" s="5" t="s">
        <v>276</v>
      </c>
      <c r="E41" s="60">
        <v>25</v>
      </c>
      <c r="F41" s="71" t="s">
        <v>277</v>
      </c>
      <c r="G41" s="76" t="str">
        <f>IFERROR(IF(VLOOKUP(TableHandbook[[#This Row],[UDC]],TableAvailabilities[],2,FALSE)&gt;0,"Y",""),"")</f>
        <v/>
      </c>
      <c r="H41" s="77" t="str">
        <f>IFERROR(IF(VLOOKUP(TableHandbook[[#This Row],[UDC]],TableAvailabilities[],3,FALSE)&gt;0,"Y",""),"")</f>
        <v/>
      </c>
      <c r="I41" s="78" t="str">
        <f>IFERROR(IF(VLOOKUP(TableHandbook[[#This Row],[UDC]],TableAvailabilities[],4,FALSE)&gt;0,"Y",""),"")</f>
        <v/>
      </c>
      <c r="J41" s="79" t="str">
        <f>IFERROR(IF(VLOOKUP(TableHandbook[[#This Row],[UDC]],TableAvailabilities[],5,FALSE)&gt;0,"Y",""),"")</f>
        <v/>
      </c>
      <c r="K41" s="167"/>
      <c r="L41" s="183" t="str">
        <f>IFERROR(VLOOKUP(TableHandbook[[#This Row],[UDC]],TableEOINARCH[],7,FALSE),"")</f>
        <v>Core</v>
      </c>
      <c r="M41" s="184" t="str">
        <f>IFERROR(VLOOKUP(TableHandbook[[#This Row],[UDC]],TableEOINARCH1[],7,FALSE),"")</f>
        <v>Core</v>
      </c>
      <c r="N41" s="183" t="str">
        <f>IFERROR(VLOOKUP(TableHandbook[[#This Row],[UDC]],TableOUINDSGN[],7,FALSE),"")</f>
        <v>Core</v>
      </c>
      <c r="O41" s="184" t="str">
        <f>IFERROR(VLOOKUP(TableHandbook[[#This Row],[UDC]],TableOBINDSGN[],7,FALSE),"")</f>
        <v>Core</v>
      </c>
      <c r="P41" s="73" t="str">
        <f>IFERROR(VLOOKUP(TableHandbook[[#This Row],[UDC]],TableOSCUANGAD[],7,FALSE),"")</f>
        <v/>
      </c>
      <c r="Q41" s="74" t="str">
        <f>IFERROR(VLOOKUP(TableHandbook[[#This Row],[UDC]],TableOSCUCONMS[],7,FALSE),"")</f>
        <v/>
      </c>
      <c r="R41" s="74" t="str">
        <f>IFERROR(VLOOKUP(TableHandbook[[#This Row],[UDC]],TableOSCUDIGDE[],7,FALSE),"")</f>
        <v/>
      </c>
      <c r="S41" s="74" t="str">
        <f>IFERROR(VLOOKUP(TableHandbook[[#This Row],[UDC]],TableOSCUPLGEO[],7,FALSE),"")</f>
        <v/>
      </c>
      <c r="T41" s="74" t="str">
        <f>IFERROR(VLOOKUP(TableHandbook[[#This Row],[UDC]],TableOSEUARCHT[],7,FALSE),"")</f>
        <v/>
      </c>
    </row>
    <row r="42" spans="1:20" x14ac:dyDescent="0.25">
      <c r="A42" s="5" t="s">
        <v>131</v>
      </c>
      <c r="B42" s="60">
        <v>3</v>
      </c>
      <c r="C42" s="60" t="s">
        <v>278</v>
      </c>
      <c r="D42" s="5" t="s">
        <v>279</v>
      </c>
      <c r="E42" s="60">
        <v>25</v>
      </c>
      <c r="F42" s="71" t="s">
        <v>277</v>
      </c>
      <c r="G42" s="76" t="str">
        <f>IFERROR(IF(VLOOKUP(TableHandbook[[#This Row],[UDC]],TableAvailabilities[],2,FALSE)&gt;0,"Y",""),"")</f>
        <v/>
      </c>
      <c r="H42" s="77" t="str">
        <f>IFERROR(IF(VLOOKUP(TableHandbook[[#This Row],[UDC]],TableAvailabilities[],3,FALSE)&gt;0,"Y",""),"")</f>
        <v/>
      </c>
      <c r="I42" s="78" t="str">
        <f>IFERROR(IF(VLOOKUP(TableHandbook[[#This Row],[UDC]],TableAvailabilities[],4,FALSE)&gt;0,"Y",""),"")</f>
        <v/>
      </c>
      <c r="J42" s="79" t="str">
        <f>IFERROR(IF(VLOOKUP(TableHandbook[[#This Row],[UDC]],TableAvailabilities[],5,FALSE)&gt;0,"Y",""),"")</f>
        <v/>
      </c>
      <c r="K42" s="167"/>
      <c r="L42" s="183" t="str">
        <f>IFERROR(VLOOKUP(TableHandbook[[#This Row],[UDC]],TableEOINARCH[],7,FALSE),"")</f>
        <v>Core</v>
      </c>
      <c r="M42" s="184" t="str">
        <f>IFERROR(VLOOKUP(TableHandbook[[#This Row],[UDC]],TableEOINARCH1[],7,FALSE),"")</f>
        <v>Core</v>
      </c>
      <c r="N42" s="183" t="str">
        <f>IFERROR(VLOOKUP(TableHandbook[[#This Row],[UDC]],TableOUINDSGN[],7,FALSE),"")</f>
        <v>Core</v>
      </c>
      <c r="O42" s="184" t="str">
        <f>IFERROR(VLOOKUP(TableHandbook[[#This Row],[UDC]],TableOBINDSGN[],7,FALSE),"")</f>
        <v>Core</v>
      </c>
      <c r="P42" s="73" t="str">
        <f>IFERROR(VLOOKUP(TableHandbook[[#This Row],[UDC]],TableOSCUANGAD[],7,FALSE),"")</f>
        <v/>
      </c>
      <c r="Q42" s="74" t="str">
        <f>IFERROR(VLOOKUP(TableHandbook[[#This Row],[UDC]],TableOSCUCONMS[],7,FALSE),"")</f>
        <v/>
      </c>
      <c r="R42" s="74" t="str">
        <f>IFERROR(VLOOKUP(TableHandbook[[#This Row],[UDC]],TableOSCUDIGDE[],7,FALSE),"")</f>
        <v/>
      </c>
      <c r="S42" s="74" t="str">
        <f>IFERROR(VLOOKUP(TableHandbook[[#This Row],[UDC]],TableOSCUPLGEO[],7,FALSE),"")</f>
        <v/>
      </c>
      <c r="T42" s="74" t="str">
        <f>IFERROR(VLOOKUP(TableHandbook[[#This Row],[UDC]],TableOSEUARCHT[],7,FALSE),"")</f>
        <v/>
      </c>
    </row>
    <row r="43" spans="1:20" x14ac:dyDescent="0.25">
      <c r="A43" s="5" t="s">
        <v>125</v>
      </c>
      <c r="B43" s="60">
        <v>1</v>
      </c>
      <c r="C43" s="60" t="s">
        <v>280</v>
      </c>
      <c r="D43" s="5" t="s">
        <v>281</v>
      </c>
      <c r="E43" s="60">
        <v>25</v>
      </c>
      <c r="F43" s="71" t="s">
        <v>205</v>
      </c>
      <c r="G43" s="76" t="str">
        <f>IFERROR(IF(VLOOKUP(TableHandbook[[#This Row],[UDC]],TableAvailabilities[],2,FALSE)&gt;0,"Y",""),"")</f>
        <v/>
      </c>
      <c r="H43" s="77" t="str">
        <f>IFERROR(IF(VLOOKUP(TableHandbook[[#This Row],[UDC]],TableAvailabilities[],3,FALSE)&gt;0,"Y",""),"")</f>
        <v/>
      </c>
      <c r="I43" s="78" t="str">
        <f>IFERROR(IF(VLOOKUP(TableHandbook[[#This Row],[UDC]],TableAvailabilities[],4,FALSE)&gt;0,"Y",""),"")</f>
        <v/>
      </c>
      <c r="J43" s="79" t="str">
        <f>IFERROR(IF(VLOOKUP(TableHandbook[[#This Row],[UDC]],TableAvailabilities[],5,FALSE)&gt;0,"Y",""),"")</f>
        <v/>
      </c>
      <c r="K43" s="167"/>
      <c r="L43" s="183" t="str">
        <f>IFERROR(VLOOKUP(TableHandbook[[#This Row],[UDC]],TableEOINARCH[],7,FALSE),"")</f>
        <v>Core</v>
      </c>
      <c r="M43" s="184" t="str">
        <f>IFERROR(VLOOKUP(TableHandbook[[#This Row],[UDC]],TableEOINARCH1[],7,FALSE),"")</f>
        <v>Core</v>
      </c>
      <c r="N43" s="183" t="str">
        <f>IFERROR(VLOOKUP(TableHandbook[[#This Row],[UDC]],TableOUINDSGN[],7,FALSE),"")</f>
        <v>Core</v>
      </c>
      <c r="O43" s="184" t="str">
        <f>IFERROR(VLOOKUP(TableHandbook[[#This Row],[UDC]],TableOBINDSGN[],7,FALSE),"")</f>
        <v>Core</v>
      </c>
      <c r="P43" s="73" t="str">
        <f>IFERROR(VLOOKUP(TableHandbook[[#This Row],[UDC]],TableOSCUANGAD[],7,FALSE),"")</f>
        <v/>
      </c>
      <c r="Q43" s="74" t="str">
        <f>IFERROR(VLOOKUP(TableHandbook[[#This Row],[UDC]],TableOSCUCONMS[],7,FALSE),"")</f>
        <v/>
      </c>
      <c r="R43" s="74" t="str">
        <f>IFERROR(VLOOKUP(TableHandbook[[#This Row],[UDC]],TableOSCUDIGDE[],7,FALSE),"")</f>
        <v/>
      </c>
      <c r="S43" s="74" t="str">
        <f>IFERROR(VLOOKUP(TableHandbook[[#This Row],[UDC]],TableOSCUPLGEO[],7,FALSE),"")</f>
        <v/>
      </c>
      <c r="T43" s="74" t="str">
        <f>IFERROR(VLOOKUP(TableHandbook[[#This Row],[UDC]],TableOSEUARCHT[],7,FALSE),"")</f>
        <v/>
      </c>
    </row>
    <row r="44" spans="1:20" x14ac:dyDescent="0.25">
      <c r="A44" s="5" t="s">
        <v>132</v>
      </c>
      <c r="B44" s="60">
        <v>1</v>
      </c>
      <c r="C44" s="60" t="s">
        <v>282</v>
      </c>
      <c r="D44" s="5" t="s">
        <v>283</v>
      </c>
      <c r="E44" s="60">
        <v>25</v>
      </c>
      <c r="F44" s="71" t="s">
        <v>205</v>
      </c>
      <c r="G44" s="76" t="str">
        <f>IFERROR(IF(VLOOKUP(TableHandbook[[#This Row],[UDC]],TableAvailabilities[],2,FALSE)&gt;0,"Y",""),"")</f>
        <v/>
      </c>
      <c r="H44" s="77" t="str">
        <f>IFERROR(IF(VLOOKUP(TableHandbook[[#This Row],[UDC]],TableAvailabilities[],3,FALSE)&gt;0,"Y",""),"")</f>
        <v/>
      </c>
      <c r="I44" s="78" t="str">
        <f>IFERROR(IF(VLOOKUP(TableHandbook[[#This Row],[UDC]],TableAvailabilities[],4,FALSE)&gt;0,"Y",""),"")</f>
        <v/>
      </c>
      <c r="J44" s="79" t="str">
        <f>IFERROR(IF(VLOOKUP(TableHandbook[[#This Row],[UDC]],TableAvailabilities[],5,FALSE)&gt;0,"Y",""),"")</f>
        <v/>
      </c>
      <c r="K44" s="167"/>
      <c r="L44" s="183" t="str">
        <f>IFERROR(VLOOKUP(TableHandbook[[#This Row],[UDC]],TableEOINARCH[],7,FALSE),"")</f>
        <v>Core</v>
      </c>
      <c r="M44" s="184" t="str">
        <f>IFERROR(VLOOKUP(TableHandbook[[#This Row],[UDC]],TableEOINARCH1[],7,FALSE),"")</f>
        <v>Core</v>
      </c>
      <c r="N44" s="183" t="str">
        <f>IFERROR(VLOOKUP(TableHandbook[[#This Row],[UDC]],TableOUINDSGN[],7,FALSE),"")</f>
        <v>Core</v>
      </c>
      <c r="O44" s="184" t="str">
        <f>IFERROR(VLOOKUP(TableHandbook[[#This Row],[UDC]],TableOBINDSGN[],7,FALSE),"")</f>
        <v>Core</v>
      </c>
      <c r="P44" s="73" t="str">
        <f>IFERROR(VLOOKUP(TableHandbook[[#This Row],[UDC]],TableOSCUANGAD[],7,FALSE),"")</f>
        <v/>
      </c>
      <c r="Q44" s="74" t="str">
        <f>IFERROR(VLOOKUP(TableHandbook[[#This Row],[UDC]],TableOSCUCONMS[],7,FALSE),"")</f>
        <v/>
      </c>
      <c r="R44" s="74" t="str">
        <f>IFERROR(VLOOKUP(TableHandbook[[#This Row],[UDC]],TableOSCUDIGDE[],7,FALSE),"")</f>
        <v/>
      </c>
      <c r="S44" s="74" t="str">
        <f>IFERROR(VLOOKUP(TableHandbook[[#This Row],[UDC]],TableOSCUPLGEO[],7,FALSE),"")</f>
        <v/>
      </c>
      <c r="T44" s="74" t="str">
        <f>IFERROR(VLOOKUP(TableHandbook[[#This Row],[UDC]],TableOSEUARCHT[],7,FALSE),"")</f>
        <v/>
      </c>
    </row>
    <row r="45" spans="1:20" x14ac:dyDescent="0.25">
      <c r="A45" s="5" t="s">
        <v>133</v>
      </c>
      <c r="B45" s="60">
        <v>1</v>
      </c>
      <c r="C45" s="60" t="s">
        <v>284</v>
      </c>
      <c r="D45" s="5" t="s">
        <v>285</v>
      </c>
      <c r="E45" s="60">
        <v>25</v>
      </c>
      <c r="F45" s="71" t="s">
        <v>205</v>
      </c>
      <c r="G45" s="76" t="str">
        <f>IFERROR(IF(VLOOKUP(TableHandbook[[#This Row],[UDC]],TableAvailabilities[],2,FALSE)&gt;0,"Y",""),"")</f>
        <v/>
      </c>
      <c r="H45" s="77" t="str">
        <f>IFERROR(IF(VLOOKUP(TableHandbook[[#This Row],[UDC]],TableAvailabilities[],3,FALSE)&gt;0,"Y",""),"")</f>
        <v/>
      </c>
      <c r="I45" s="78" t="str">
        <f>IFERROR(IF(VLOOKUP(TableHandbook[[#This Row],[UDC]],TableAvailabilities[],4,FALSE)&gt;0,"Y",""),"")</f>
        <v/>
      </c>
      <c r="J45" s="79" t="str">
        <f>IFERROR(IF(VLOOKUP(TableHandbook[[#This Row],[UDC]],TableAvailabilities[],5,FALSE)&gt;0,"Y",""),"")</f>
        <v/>
      </c>
      <c r="K45" s="167"/>
      <c r="L45" s="183" t="str">
        <f>IFERROR(VLOOKUP(TableHandbook[[#This Row],[UDC]],TableEOINARCH[],7,FALSE),"")</f>
        <v>Core</v>
      </c>
      <c r="M45" s="184" t="str">
        <f>IFERROR(VLOOKUP(TableHandbook[[#This Row],[UDC]],TableEOINARCH1[],7,FALSE),"")</f>
        <v>Core</v>
      </c>
      <c r="N45" s="183" t="str">
        <f>IFERROR(VLOOKUP(TableHandbook[[#This Row],[UDC]],TableOUINDSGN[],7,FALSE),"")</f>
        <v>Core</v>
      </c>
      <c r="O45" s="184" t="str">
        <f>IFERROR(VLOOKUP(TableHandbook[[#This Row],[UDC]],TableOBINDSGN[],7,FALSE),"")</f>
        <v>Core</v>
      </c>
      <c r="P45" s="73" t="str">
        <f>IFERROR(VLOOKUP(TableHandbook[[#This Row],[UDC]],TableOSCUANGAD[],7,FALSE),"")</f>
        <v/>
      </c>
      <c r="Q45" s="74" t="str">
        <f>IFERROR(VLOOKUP(TableHandbook[[#This Row],[UDC]],TableOSCUCONMS[],7,FALSE),"")</f>
        <v/>
      </c>
      <c r="R45" s="74" t="str">
        <f>IFERROR(VLOOKUP(TableHandbook[[#This Row],[UDC]],TableOSCUDIGDE[],7,FALSE),"")</f>
        <v/>
      </c>
      <c r="S45" s="74" t="str">
        <f>IFERROR(VLOOKUP(TableHandbook[[#This Row],[UDC]],TableOSCUPLGEO[],7,FALSE),"")</f>
        <v/>
      </c>
      <c r="T45" s="74" t="str">
        <f>IFERROR(VLOOKUP(TableHandbook[[#This Row],[UDC]],TableOSEUARCHT[],7,FALSE),"")</f>
        <v/>
      </c>
    </row>
    <row r="46" spans="1:20" x14ac:dyDescent="0.25">
      <c r="A46" s="5" t="s">
        <v>136</v>
      </c>
      <c r="B46" s="60">
        <v>1</v>
      </c>
      <c r="C46" s="60" t="s">
        <v>286</v>
      </c>
      <c r="D46" s="5" t="s">
        <v>287</v>
      </c>
      <c r="E46" s="60">
        <v>25</v>
      </c>
      <c r="F46" s="71" t="s">
        <v>288</v>
      </c>
      <c r="G46" s="76" t="str">
        <f>IFERROR(IF(VLOOKUP(TableHandbook[[#This Row],[UDC]],TableAvailabilities[],2,FALSE)&gt;0,"Y",""),"")</f>
        <v/>
      </c>
      <c r="H46" s="77" t="str">
        <f>IFERROR(IF(VLOOKUP(TableHandbook[[#This Row],[UDC]],TableAvailabilities[],3,FALSE)&gt;0,"Y",""),"")</f>
        <v/>
      </c>
      <c r="I46" s="78" t="str">
        <f>IFERROR(IF(VLOOKUP(TableHandbook[[#This Row],[UDC]],TableAvailabilities[],4,FALSE)&gt;0,"Y",""),"")</f>
        <v/>
      </c>
      <c r="J46" s="79" t="str">
        <f>IFERROR(IF(VLOOKUP(TableHandbook[[#This Row],[UDC]],TableAvailabilities[],5,FALSE)&gt;0,"Y",""),"")</f>
        <v/>
      </c>
      <c r="K46" s="167"/>
      <c r="L46" s="183" t="str">
        <f>IFERROR(VLOOKUP(TableHandbook[[#This Row],[UDC]],TableEOINARCH[],7,FALSE),"")</f>
        <v>Core</v>
      </c>
      <c r="M46" s="184" t="str">
        <f>IFERROR(VLOOKUP(TableHandbook[[#This Row],[UDC]],TableEOINARCH1[],7,FALSE),"")</f>
        <v>Core</v>
      </c>
      <c r="N46" s="183" t="str">
        <f>IFERROR(VLOOKUP(TableHandbook[[#This Row],[UDC]],TableOUINDSGN[],7,FALSE),"")</f>
        <v/>
      </c>
      <c r="O46" s="184" t="str">
        <f>IFERROR(VLOOKUP(TableHandbook[[#This Row],[UDC]],TableOBINDSGN[],7,FALSE),"")</f>
        <v/>
      </c>
      <c r="P46" s="73" t="str">
        <f>IFERROR(VLOOKUP(TableHandbook[[#This Row],[UDC]],TableOSCUANGAD[],7,FALSE),"")</f>
        <v/>
      </c>
      <c r="Q46" s="74" t="str">
        <f>IFERROR(VLOOKUP(TableHandbook[[#This Row],[UDC]],TableOSCUCONMS[],7,FALSE),"")</f>
        <v/>
      </c>
      <c r="R46" s="74" t="str">
        <f>IFERROR(VLOOKUP(TableHandbook[[#This Row],[UDC]],TableOSCUDIGDE[],7,FALSE),"")</f>
        <v/>
      </c>
      <c r="S46" s="74" t="str">
        <f>IFERROR(VLOOKUP(TableHandbook[[#This Row],[UDC]],TableOSCUPLGEO[],7,FALSE),"")</f>
        <v/>
      </c>
      <c r="T46" s="74" t="str">
        <f>IFERROR(VLOOKUP(TableHandbook[[#This Row],[UDC]],TableOSEUARCHT[],7,FALSE),"")</f>
        <v/>
      </c>
    </row>
    <row r="47" spans="1:20" x14ac:dyDescent="0.25">
      <c r="A47" s="5" t="s">
        <v>141</v>
      </c>
      <c r="B47" s="60">
        <v>1</v>
      </c>
      <c r="C47" s="60" t="s">
        <v>289</v>
      </c>
      <c r="D47" s="5" t="s">
        <v>290</v>
      </c>
      <c r="E47" s="60">
        <v>25</v>
      </c>
      <c r="F47" s="71" t="s">
        <v>223</v>
      </c>
      <c r="G47" s="76" t="str">
        <f>IFERROR(IF(VLOOKUP(TableHandbook[[#This Row],[UDC]],TableAvailabilities[],2,FALSE)&gt;0,"Y",""),"")</f>
        <v/>
      </c>
      <c r="H47" s="77" t="str">
        <f>IFERROR(IF(VLOOKUP(TableHandbook[[#This Row],[UDC]],TableAvailabilities[],3,FALSE)&gt;0,"Y",""),"")</f>
        <v/>
      </c>
      <c r="I47" s="78" t="str">
        <f>IFERROR(IF(VLOOKUP(TableHandbook[[#This Row],[UDC]],TableAvailabilities[],4,FALSE)&gt;0,"Y",""),"")</f>
        <v/>
      </c>
      <c r="J47" s="79" t="str">
        <f>IFERROR(IF(VLOOKUP(TableHandbook[[#This Row],[UDC]],TableAvailabilities[],5,FALSE)&gt;0,"Y",""),"")</f>
        <v/>
      </c>
      <c r="K47" s="167"/>
      <c r="L47" s="183" t="str">
        <f>IFERROR(VLOOKUP(TableHandbook[[#This Row],[UDC]],TableEOINARCH[],7,FALSE),"")</f>
        <v>Core</v>
      </c>
      <c r="M47" s="184" t="str">
        <f>IFERROR(VLOOKUP(TableHandbook[[#This Row],[UDC]],TableEOINARCH1[],7,FALSE),"")</f>
        <v>Core</v>
      </c>
      <c r="N47" s="183" t="str">
        <f>IFERROR(VLOOKUP(TableHandbook[[#This Row],[UDC]],TableOUINDSGN[],7,FALSE),"")</f>
        <v/>
      </c>
      <c r="O47" s="184" t="str">
        <f>IFERROR(VLOOKUP(TableHandbook[[#This Row],[UDC]],TableOBINDSGN[],7,FALSE),"")</f>
        <v/>
      </c>
      <c r="P47" s="73" t="str">
        <f>IFERROR(VLOOKUP(TableHandbook[[#This Row],[UDC]],TableOSCUANGAD[],7,FALSE),"")</f>
        <v/>
      </c>
      <c r="Q47" s="74" t="str">
        <f>IFERROR(VLOOKUP(TableHandbook[[#This Row],[UDC]],TableOSCUCONMS[],7,FALSE),"")</f>
        <v/>
      </c>
      <c r="R47" s="74" t="str">
        <f>IFERROR(VLOOKUP(TableHandbook[[#This Row],[UDC]],TableOSCUDIGDE[],7,FALSE),"")</f>
        <v/>
      </c>
      <c r="S47" s="74" t="str">
        <f>IFERROR(VLOOKUP(TableHandbook[[#This Row],[UDC]],TableOSCUPLGEO[],7,FALSE),"")</f>
        <v/>
      </c>
      <c r="T47" s="74" t="str">
        <f>IFERROR(VLOOKUP(TableHandbook[[#This Row],[UDC]],TableOSEUARCHT[],7,FALSE),"")</f>
        <v/>
      </c>
    </row>
    <row r="48" spans="1:20" x14ac:dyDescent="0.25">
      <c r="A48" s="5" t="s">
        <v>143</v>
      </c>
      <c r="B48" s="60">
        <v>1</v>
      </c>
      <c r="C48" s="60" t="s">
        <v>291</v>
      </c>
      <c r="D48" s="5" t="s">
        <v>292</v>
      </c>
      <c r="E48" s="60">
        <v>25</v>
      </c>
      <c r="F48" s="71" t="s">
        <v>205</v>
      </c>
      <c r="G48" s="76" t="str">
        <f>IFERROR(IF(VLOOKUP(TableHandbook[[#This Row],[UDC]],TableAvailabilities[],2,FALSE)&gt;0,"Y",""),"")</f>
        <v/>
      </c>
      <c r="H48" s="77" t="str">
        <f>IFERROR(IF(VLOOKUP(TableHandbook[[#This Row],[UDC]],TableAvailabilities[],3,FALSE)&gt;0,"Y",""),"")</f>
        <v/>
      </c>
      <c r="I48" s="78" t="str">
        <f>IFERROR(IF(VLOOKUP(TableHandbook[[#This Row],[UDC]],TableAvailabilities[],4,FALSE)&gt;0,"Y",""),"")</f>
        <v/>
      </c>
      <c r="J48" s="79" t="str">
        <f>IFERROR(IF(VLOOKUP(TableHandbook[[#This Row],[UDC]],TableAvailabilities[],5,FALSE)&gt;0,"Y",""),"")</f>
        <v/>
      </c>
      <c r="K48" s="167"/>
      <c r="L48" s="183" t="str">
        <f>IFERROR(VLOOKUP(TableHandbook[[#This Row],[UDC]],TableEOINARCH[],7,FALSE),"")</f>
        <v>Core</v>
      </c>
      <c r="M48" s="184" t="str">
        <f>IFERROR(VLOOKUP(TableHandbook[[#This Row],[UDC]],TableEOINARCH1[],7,FALSE),"")</f>
        <v>Core</v>
      </c>
      <c r="N48" s="183" t="str">
        <f>IFERROR(VLOOKUP(TableHandbook[[#This Row],[UDC]],TableOUINDSGN[],7,FALSE),"")</f>
        <v/>
      </c>
      <c r="O48" s="184" t="str">
        <f>IFERROR(VLOOKUP(TableHandbook[[#This Row],[UDC]],TableOBINDSGN[],7,FALSE),"")</f>
        <v/>
      </c>
      <c r="P48" s="73" t="str">
        <f>IFERROR(VLOOKUP(TableHandbook[[#This Row],[UDC]],TableOSCUANGAD[],7,FALSE),"")</f>
        <v/>
      </c>
      <c r="Q48" s="74" t="str">
        <f>IFERROR(VLOOKUP(TableHandbook[[#This Row],[UDC]],TableOSCUCONMS[],7,FALSE),"")</f>
        <v/>
      </c>
      <c r="R48" s="74" t="str">
        <f>IFERROR(VLOOKUP(TableHandbook[[#This Row],[UDC]],TableOSCUDIGDE[],7,FALSE),"")</f>
        <v/>
      </c>
      <c r="S48" s="74" t="str">
        <f>IFERROR(VLOOKUP(TableHandbook[[#This Row],[UDC]],TableOSCUPLGEO[],7,FALSE),"")</f>
        <v/>
      </c>
      <c r="T48" s="74" t="str">
        <f>IFERROR(VLOOKUP(TableHandbook[[#This Row],[UDC]],TableOSEUARCHT[],7,FALSE),"")</f>
        <v/>
      </c>
    </row>
    <row r="49" spans="1:20" x14ac:dyDescent="0.25">
      <c r="A49" s="5" t="s">
        <v>145</v>
      </c>
      <c r="B49" s="60">
        <v>1</v>
      </c>
      <c r="C49" s="60" t="s">
        <v>293</v>
      </c>
      <c r="D49" s="5" t="s">
        <v>294</v>
      </c>
      <c r="E49" s="60">
        <v>25</v>
      </c>
      <c r="F49" s="71" t="s">
        <v>288</v>
      </c>
      <c r="G49" s="76" t="str">
        <f>IFERROR(IF(VLOOKUP(TableHandbook[[#This Row],[UDC]],TableAvailabilities[],2,FALSE)&gt;0,"Y",""),"")</f>
        <v/>
      </c>
      <c r="H49" s="77" t="str">
        <f>IFERROR(IF(VLOOKUP(TableHandbook[[#This Row],[UDC]],TableAvailabilities[],3,FALSE)&gt;0,"Y",""),"")</f>
        <v/>
      </c>
      <c r="I49" s="78" t="str">
        <f>IFERROR(IF(VLOOKUP(TableHandbook[[#This Row],[UDC]],TableAvailabilities[],4,FALSE)&gt;0,"Y",""),"")</f>
        <v/>
      </c>
      <c r="J49" s="79" t="str">
        <f>IFERROR(IF(VLOOKUP(TableHandbook[[#This Row],[UDC]],TableAvailabilities[],5,FALSE)&gt;0,"Y",""),"")</f>
        <v/>
      </c>
      <c r="K49" s="167"/>
      <c r="L49" s="183" t="str">
        <f>IFERROR(VLOOKUP(TableHandbook[[#This Row],[UDC]],TableEOINARCH[],7,FALSE),"")</f>
        <v>Core</v>
      </c>
      <c r="M49" s="184" t="str">
        <f>IFERROR(VLOOKUP(TableHandbook[[#This Row],[UDC]],TableEOINARCH1[],7,FALSE),"")</f>
        <v>Core</v>
      </c>
      <c r="N49" s="183" t="str">
        <f>IFERROR(VLOOKUP(TableHandbook[[#This Row],[UDC]],TableOUINDSGN[],7,FALSE),"")</f>
        <v/>
      </c>
      <c r="O49" s="184" t="str">
        <f>IFERROR(VLOOKUP(TableHandbook[[#This Row],[UDC]],TableOBINDSGN[],7,FALSE),"")</f>
        <v/>
      </c>
      <c r="P49" s="73" t="str">
        <f>IFERROR(VLOOKUP(TableHandbook[[#This Row],[UDC]],TableOSCUANGAD[],7,FALSE),"")</f>
        <v/>
      </c>
      <c r="Q49" s="74" t="str">
        <f>IFERROR(VLOOKUP(TableHandbook[[#This Row],[UDC]],TableOSCUCONMS[],7,FALSE),"")</f>
        <v/>
      </c>
      <c r="R49" s="74" t="str">
        <f>IFERROR(VLOOKUP(TableHandbook[[#This Row],[UDC]],TableOSCUDIGDE[],7,FALSE),"")</f>
        <v/>
      </c>
      <c r="S49" s="74" t="str">
        <f>IFERROR(VLOOKUP(TableHandbook[[#This Row],[UDC]],TableOSCUPLGEO[],7,FALSE),"")</f>
        <v/>
      </c>
      <c r="T49" s="74" t="str">
        <f>IFERROR(VLOOKUP(TableHandbook[[#This Row],[UDC]],TableOSEUARCHT[],7,FALSE),"")</f>
        <v/>
      </c>
    </row>
    <row r="50" spans="1:20" ht="26.25" x14ac:dyDescent="0.25">
      <c r="A50" s="5" t="s">
        <v>147</v>
      </c>
      <c r="B50" s="60">
        <v>1</v>
      </c>
      <c r="C50" s="60" t="s">
        <v>295</v>
      </c>
      <c r="D50" s="5" t="s">
        <v>296</v>
      </c>
      <c r="E50" s="60">
        <v>50</v>
      </c>
      <c r="F50" s="71" t="s">
        <v>297</v>
      </c>
      <c r="G50" s="76" t="str">
        <f>IFERROR(IF(VLOOKUP(TableHandbook[[#This Row],[UDC]],TableAvailabilities[],2,FALSE)&gt;0,"Y",""),"")</f>
        <v/>
      </c>
      <c r="H50" s="77" t="str">
        <f>IFERROR(IF(VLOOKUP(TableHandbook[[#This Row],[UDC]],TableAvailabilities[],3,FALSE)&gt;0,"Y",""),"")</f>
        <v/>
      </c>
      <c r="I50" s="78" t="str">
        <f>IFERROR(IF(VLOOKUP(TableHandbook[[#This Row],[UDC]],TableAvailabilities[],4,FALSE)&gt;0,"Y",""),"")</f>
        <v/>
      </c>
      <c r="J50" s="79" t="str">
        <f>IFERROR(IF(VLOOKUP(TableHandbook[[#This Row],[UDC]],TableAvailabilities[],5,FALSE)&gt;0,"Y",""),"")</f>
        <v/>
      </c>
      <c r="K50" s="167"/>
      <c r="L50" s="183" t="str">
        <f>IFERROR(VLOOKUP(TableHandbook[[#This Row],[UDC]],TableEOINARCH[],7,FALSE),"")</f>
        <v>Core</v>
      </c>
      <c r="M50" s="184" t="str">
        <f>IFERROR(VLOOKUP(TableHandbook[[#This Row],[UDC]],TableEOINARCH1[],7,FALSE),"")</f>
        <v>Core</v>
      </c>
      <c r="N50" s="183" t="str">
        <f>IFERROR(VLOOKUP(TableHandbook[[#This Row],[UDC]],TableOUINDSGN[],7,FALSE),"")</f>
        <v/>
      </c>
      <c r="O50" s="184" t="str">
        <f>IFERROR(VLOOKUP(TableHandbook[[#This Row],[UDC]],TableOBINDSGN[],7,FALSE),"")</f>
        <v/>
      </c>
      <c r="P50" s="73" t="str">
        <f>IFERROR(VLOOKUP(TableHandbook[[#This Row],[UDC]],TableOSCUANGAD[],7,FALSE),"")</f>
        <v/>
      </c>
      <c r="Q50" s="74" t="str">
        <f>IFERROR(VLOOKUP(TableHandbook[[#This Row],[UDC]],TableOSCUCONMS[],7,FALSE),"")</f>
        <v/>
      </c>
      <c r="R50" s="74" t="str">
        <f>IFERROR(VLOOKUP(TableHandbook[[#This Row],[UDC]],TableOSCUDIGDE[],7,FALSE),"")</f>
        <v/>
      </c>
      <c r="S50" s="74" t="str">
        <f>IFERROR(VLOOKUP(TableHandbook[[#This Row],[UDC]],TableOSCUPLGEO[],7,FALSE),"")</f>
        <v/>
      </c>
      <c r="T50" s="74" t="str">
        <f>IFERROR(VLOOKUP(TableHandbook[[#This Row],[UDC]],TableOSEUARCHT[],7,FALSE),"")</f>
        <v/>
      </c>
    </row>
    <row r="51" spans="1:20" x14ac:dyDescent="0.25">
      <c r="A51" s="5" t="s">
        <v>150</v>
      </c>
      <c r="B51" s="60">
        <v>1</v>
      </c>
      <c r="C51" s="60" t="s">
        <v>298</v>
      </c>
      <c r="D51" s="5" t="s">
        <v>299</v>
      </c>
      <c r="E51" s="60">
        <v>50</v>
      </c>
      <c r="F51" s="71" t="s">
        <v>300</v>
      </c>
      <c r="G51" s="76" t="str">
        <f>IFERROR(IF(VLOOKUP(TableHandbook[[#This Row],[UDC]],TableAvailabilities[],2,FALSE)&gt;0,"Y",""),"")</f>
        <v/>
      </c>
      <c r="H51" s="77" t="str">
        <f>IFERROR(IF(VLOOKUP(TableHandbook[[#This Row],[UDC]],TableAvailabilities[],3,FALSE)&gt;0,"Y",""),"")</f>
        <v/>
      </c>
      <c r="I51" s="78" t="str">
        <f>IFERROR(IF(VLOOKUP(TableHandbook[[#This Row],[UDC]],TableAvailabilities[],4,FALSE)&gt;0,"Y",""),"")</f>
        <v/>
      </c>
      <c r="J51" s="79" t="str">
        <f>IFERROR(IF(VLOOKUP(TableHandbook[[#This Row],[UDC]],TableAvailabilities[],5,FALSE)&gt;0,"Y",""),"")</f>
        <v/>
      </c>
      <c r="K51" s="167"/>
      <c r="L51" s="183" t="str">
        <f>IFERROR(VLOOKUP(TableHandbook[[#This Row],[UDC]],TableEOINARCH[],7,FALSE),"")</f>
        <v>Core</v>
      </c>
      <c r="M51" s="184" t="str">
        <f>IFERROR(VLOOKUP(TableHandbook[[#This Row],[UDC]],TableEOINARCH1[],7,FALSE),"")</f>
        <v>Core</v>
      </c>
      <c r="N51" s="183" t="str">
        <f>IFERROR(VLOOKUP(TableHandbook[[#This Row],[UDC]],TableOUINDSGN[],7,FALSE),"")</f>
        <v/>
      </c>
      <c r="O51" s="184" t="str">
        <f>IFERROR(VLOOKUP(TableHandbook[[#This Row],[UDC]],TableOBINDSGN[],7,FALSE),"")</f>
        <v/>
      </c>
      <c r="P51" s="73" t="str">
        <f>IFERROR(VLOOKUP(TableHandbook[[#This Row],[UDC]],TableOSCUANGAD[],7,FALSE),"")</f>
        <v/>
      </c>
      <c r="Q51" s="74" t="str">
        <f>IFERROR(VLOOKUP(TableHandbook[[#This Row],[UDC]],TableOSCUCONMS[],7,FALSE),"")</f>
        <v/>
      </c>
      <c r="R51" s="74" t="str">
        <f>IFERROR(VLOOKUP(TableHandbook[[#This Row],[UDC]],TableOSCUDIGDE[],7,FALSE),"")</f>
        <v/>
      </c>
      <c r="S51" s="74" t="str">
        <f>IFERROR(VLOOKUP(TableHandbook[[#This Row],[UDC]],TableOSCUPLGEO[],7,FALSE),"")</f>
        <v/>
      </c>
      <c r="T51" s="74" t="str">
        <f>IFERROR(VLOOKUP(TableHandbook[[#This Row],[UDC]],TableOSEUARCHT[],7,FALSE),"")</f>
        <v/>
      </c>
    </row>
    <row r="52" spans="1:20" x14ac:dyDescent="0.25">
      <c r="A52" s="5" t="s">
        <v>178</v>
      </c>
      <c r="B52" s="60">
        <v>0</v>
      </c>
      <c r="C52" s="60"/>
      <c r="D52" s="5" t="s">
        <v>301</v>
      </c>
      <c r="E52" s="60">
        <v>25</v>
      </c>
      <c r="F52" s="71" t="s">
        <v>198</v>
      </c>
      <c r="G52" s="76" t="str">
        <f>IFERROR(IF(VLOOKUP(TableHandbook[[#This Row],[UDC]],TableAvailabilities[],2,FALSE)&gt;0,"Y",""),"")</f>
        <v/>
      </c>
      <c r="H52" s="77" t="str">
        <f>IFERROR(IF(VLOOKUP(TableHandbook[[#This Row],[UDC]],TableAvailabilities[],3,FALSE)&gt;0,"Y",""),"")</f>
        <v/>
      </c>
      <c r="I52" s="78" t="str">
        <f>IFERROR(IF(VLOOKUP(TableHandbook[[#This Row],[UDC]],TableAvailabilities[],4,FALSE)&gt;0,"Y",""),"")</f>
        <v/>
      </c>
      <c r="J52" s="79" t="str">
        <f>IFERROR(IF(VLOOKUP(TableHandbook[[#This Row],[UDC]],TableAvailabilities[],5,FALSE)&gt;0,"Y",""),"")</f>
        <v/>
      </c>
      <c r="K52" s="167"/>
      <c r="L52" s="183" t="str">
        <f>IFERROR(VLOOKUP(TableHandbook[[#This Row],[UDC]],TableEOINARCH[],7,FALSE),"")</f>
        <v/>
      </c>
      <c r="M52" s="184" t="str">
        <f>IFERROR(VLOOKUP(TableHandbook[[#This Row],[UDC]],TableEOINARCH1[],7,FALSE),"")</f>
        <v/>
      </c>
      <c r="N52" s="183" t="str">
        <f>IFERROR(VLOOKUP(TableHandbook[[#This Row],[UDC]],TableOUINDSGN[],7,FALSE),"")</f>
        <v/>
      </c>
      <c r="O52" s="184" t="str">
        <f>IFERROR(VLOOKUP(TableHandbook[[#This Row],[UDC]],TableOBINDSGN[],7,FALSE),"")</f>
        <v/>
      </c>
      <c r="P52" s="73" t="str">
        <f>IFERROR(VLOOKUP(TableHandbook[[#This Row],[UDC]],TableOSCUANGAD[],7,FALSE),"")</f>
        <v/>
      </c>
      <c r="Q52" s="74" t="str">
        <f>IFERROR(VLOOKUP(TableHandbook[[#This Row],[UDC]],TableOSCUCONMS[],7,FALSE),"")</f>
        <v/>
      </c>
      <c r="R52" s="74" t="str">
        <f>IFERROR(VLOOKUP(TableHandbook[[#This Row],[UDC]],TableOSCUDIGDE[],7,FALSE),"")</f>
        <v/>
      </c>
      <c r="S52" s="74" t="str">
        <f>IFERROR(VLOOKUP(TableHandbook[[#This Row],[UDC]],TableOSCUPLGEO[],7,FALSE),"")</f>
        <v/>
      </c>
      <c r="T52" s="74" t="str">
        <f>IFERROR(VLOOKUP(TableHandbook[[#This Row],[UDC]],TableOSEUARCHT[],7,FALSE),"")</f>
        <v>Option</v>
      </c>
    </row>
    <row r="53" spans="1:20" x14ac:dyDescent="0.25">
      <c r="A53" s="5" t="s">
        <v>117</v>
      </c>
      <c r="B53" s="60">
        <v>1</v>
      </c>
      <c r="C53" s="60"/>
      <c r="D53" s="5" t="s">
        <v>14</v>
      </c>
      <c r="E53" s="60">
        <v>100</v>
      </c>
      <c r="F53" s="71"/>
      <c r="G53" s="76" t="str">
        <f>IFERROR(IF(VLOOKUP(TableHandbook[[#This Row],[UDC]],TableAvailabilities[],2,FALSE)&gt;0,"Y",""),"")</f>
        <v/>
      </c>
      <c r="H53" s="77" t="str">
        <f>IFERROR(IF(VLOOKUP(TableHandbook[[#This Row],[UDC]],TableAvailabilities[],3,FALSE)&gt;0,"Y",""),"")</f>
        <v/>
      </c>
      <c r="I53" s="78" t="str">
        <f>IFERROR(IF(VLOOKUP(TableHandbook[[#This Row],[UDC]],TableAvailabilities[],4,FALSE)&gt;0,"Y",""),"")</f>
        <v/>
      </c>
      <c r="J53" s="79" t="str">
        <f>IFERROR(IF(VLOOKUP(TableHandbook[[#This Row],[UDC]],TableAvailabilities[],5,FALSE)&gt;0,"Y",""),"")</f>
        <v/>
      </c>
      <c r="K53" s="167"/>
      <c r="L53" s="183" t="str">
        <f>IFERROR(VLOOKUP(TableHandbook[[#This Row],[UDC]],TableEOINARCH[],7,FALSE),"")</f>
        <v>AltCore</v>
      </c>
      <c r="M53" s="184" t="str">
        <f>IFERROR(VLOOKUP(TableHandbook[[#This Row],[UDC]],TableEOINARCH1[],7,FALSE),"")</f>
        <v>AltCore</v>
      </c>
      <c r="N53" s="183" t="str">
        <f>IFERROR(VLOOKUP(TableHandbook[[#This Row],[UDC]],TableOUINDSGN[],7,FALSE),"")</f>
        <v>AltCore</v>
      </c>
      <c r="O53" s="184" t="str">
        <f>IFERROR(VLOOKUP(TableHandbook[[#This Row],[UDC]],TableOBINDSGN[],7,FALSE),"")</f>
        <v>AltCore</v>
      </c>
      <c r="P53" s="73" t="str">
        <f>IFERROR(VLOOKUP(TableHandbook[[#This Row],[UDC]],TableOSCUANGAD[],7,FALSE),"")</f>
        <v/>
      </c>
      <c r="Q53" s="74" t="str">
        <f>IFERROR(VLOOKUP(TableHandbook[[#This Row],[UDC]],TableOSCUCONMS[],7,FALSE),"")</f>
        <v/>
      </c>
      <c r="R53" s="74" t="str">
        <f>IFERROR(VLOOKUP(TableHandbook[[#This Row],[UDC]],TableOSCUDIGDE[],7,FALSE),"")</f>
        <v/>
      </c>
      <c r="S53" s="74" t="str">
        <f>IFERROR(VLOOKUP(TableHandbook[[#This Row],[UDC]],TableOSCUPLGEO[],7,FALSE),"")</f>
        <v/>
      </c>
      <c r="T53" s="74" t="str">
        <f>IFERROR(VLOOKUP(TableHandbook[[#This Row],[UDC]],TableOSEUARCHT[],7,FALSE),"")</f>
        <v/>
      </c>
    </row>
    <row r="54" spans="1:20" x14ac:dyDescent="0.25">
      <c r="A54" s="5" t="s">
        <v>124</v>
      </c>
      <c r="B54" s="60">
        <v>1</v>
      </c>
      <c r="C54" s="60"/>
      <c r="D54" s="5" t="s">
        <v>123</v>
      </c>
      <c r="E54" s="60">
        <v>100</v>
      </c>
      <c r="F54" s="71"/>
      <c r="G54" s="76" t="str">
        <f>IFERROR(IF(VLOOKUP(TableHandbook[[#This Row],[UDC]],TableAvailabilities[],2,FALSE)&gt;0,"Y",""),"")</f>
        <v/>
      </c>
      <c r="H54" s="77" t="str">
        <f>IFERROR(IF(VLOOKUP(TableHandbook[[#This Row],[UDC]],TableAvailabilities[],3,FALSE)&gt;0,"Y",""),"")</f>
        <v/>
      </c>
      <c r="I54" s="78" t="str">
        <f>IFERROR(IF(VLOOKUP(TableHandbook[[#This Row],[UDC]],TableAvailabilities[],4,FALSE)&gt;0,"Y",""),"")</f>
        <v/>
      </c>
      <c r="J54" s="79" t="str">
        <f>IFERROR(IF(VLOOKUP(TableHandbook[[#This Row],[UDC]],TableAvailabilities[],5,FALSE)&gt;0,"Y",""),"")</f>
        <v/>
      </c>
      <c r="K54" s="167"/>
      <c r="L54" s="183" t="str">
        <f>IFERROR(VLOOKUP(TableHandbook[[#This Row],[UDC]],TableEOINARCH[],7,FALSE),"")</f>
        <v>AltCore</v>
      </c>
      <c r="M54" s="184" t="str">
        <f>IFERROR(VLOOKUP(TableHandbook[[#This Row],[UDC]],TableEOINARCH1[],7,FALSE),"")</f>
        <v>AltCore</v>
      </c>
      <c r="N54" s="183" t="str">
        <f>IFERROR(VLOOKUP(TableHandbook[[#This Row],[UDC]],TableOUINDSGN[],7,FALSE),"")</f>
        <v>AltCore</v>
      </c>
      <c r="O54" s="184" t="str">
        <f>IFERROR(VLOOKUP(TableHandbook[[#This Row],[UDC]],TableOBINDSGN[],7,FALSE),"")</f>
        <v>AltCore</v>
      </c>
      <c r="P54" s="73" t="str">
        <f>IFERROR(VLOOKUP(TableHandbook[[#This Row],[UDC]],TableOSCUANGAD[],7,FALSE),"")</f>
        <v/>
      </c>
      <c r="Q54" s="74" t="str">
        <f>IFERROR(VLOOKUP(TableHandbook[[#This Row],[UDC]],TableOSCUCONMS[],7,FALSE),"")</f>
        <v/>
      </c>
      <c r="R54" s="74" t="str">
        <f>IFERROR(VLOOKUP(TableHandbook[[#This Row],[UDC]],TableOSCUDIGDE[],7,FALSE),"")</f>
        <v/>
      </c>
      <c r="S54" s="74" t="str">
        <f>IFERROR(VLOOKUP(TableHandbook[[#This Row],[UDC]],TableOSCUPLGEO[],7,FALSE),"")</f>
        <v/>
      </c>
      <c r="T54" s="74" t="str">
        <f>IFERROR(VLOOKUP(TableHandbook[[#This Row],[UDC]],TableOSEUARCHT[],7,FALSE),"")</f>
        <v/>
      </c>
    </row>
    <row r="55" spans="1:20" x14ac:dyDescent="0.25">
      <c r="A55" s="5" t="s">
        <v>127</v>
      </c>
      <c r="B55" s="60">
        <v>1</v>
      </c>
      <c r="C55" s="60"/>
      <c r="D55" s="5" t="s">
        <v>126</v>
      </c>
      <c r="E55" s="60">
        <v>100</v>
      </c>
      <c r="F55" s="71"/>
      <c r="G55" s="76" t="str">
        <f>IFERROR(IF(VLOOKUP(TableHandbook[[#This Row],[UDC]],TableAvailabilities[],2,FALSE)&gt;0,"Y",""),"")</f>
        <v/>
      </c>
      <c r="H55" s="77" t="str">
        <f>IFERROR(IF(VLOOKUP(TableHandbook[[#This Row],[UDC]],TableAvailabilities[],3,FALSE)&gt;0,"Y",""),"")</f>
        <v/>
      </c>
      <c r="I55" s="78" t="str">
        <f>IFERROR(IF(VLOOKUP(TableHandbook[[#This Row],[UDC]],TableAvailabilities[],4,FALSE)&gt;0,"Y",""),"")</f>
        <v/>
      </c>
      <c r="J55" s="79" t="str">
        <f>IFERROR(IF(VLOOKUP(TableHandbook[[#This Row],[UDC]],TableAvailabilities[],5,FALSE)&gt;0,"Y",""),"")</f>
        <v/>
      </c>
      <c r="K55" s="167"/>
      <c r="L55" s="183" t="str">
        <f>IFERROR(VLOOKUP(TableHandbook[[#This Row],[UDC]],TableEOINARCH[],7,FALSE),"")</f>
        <v>AltCore</v>
      </c>
      <c r="M55" s="184" t="str">
        <f>IFERROR(VLOOKUP(TableHandbook[[#This Row],[UDC]],TableEOINARCH1[],7,FALSE),"")</f>
        <v>AltCore</v>
      </c>
      <c r="N55" s="183" t="str">
        <f>IFERROR(VLOOKUP(TableHandbook[[#This Row],[UDC]],TableOUINDSGN[],7,FALSE),"")</f>
        <v>AltCore</v>
      </c>
      <c r="O55" s="184" t="str">
        <f>IFERROR(VLOOKUP(TableHandbook[[#This Row],[UDC]],TableOBINDSGN[],7,FALSE),"")</f>
        <v>AltCore</v>
      </c>
      <c r="P55" s="73" t="str">
        <f>IFERROR(VLOOKUP(TableHandbook[[#This Row],[UDC]],TableOSCUANGAD[],7,FALSE),"")</f>
        <v/>
      </c>
      <c r="Q55" s="74" t="str">
        <f>IFERROR(VLOOKUP(TableHandbook[[#This Row],[UDC]],TableOSCUCONMS[],7,FALSE),"")</f>
        <v/>
      </c>
      <c r="R55" s="74" t="str">
        <f>IFERROR(VLOOKUP(TableHandbook[[#This Row],[UDC]],TableOSCUDIGDE[],7,FALSE),"")</f>
        <v/>
      </c>
      <c r="S55" s="74" t="str">
        <f>IFERROR(VLOOKUP(TableHandbook[[#This Row],[UDC]],TableOSCUPLGEO[],7,FALSE),"")</f>
        <v/>
      </c>
      <c r="T55" s="74" t="str">
        <f>IFERROR(VLOOKUP(TableHandbook[[#This Row],[UDC]],TableOSEUARCHT[],7,FALSE),"")</f>
        <v/>
      </c>
    </row>
    <row r="56" spans="1:20" x14ac:dyDescent="0.25">
      <c r="A56" s="5" t="s">
        <v>130</v>
      </c>
      <c r="B56" s="60">
        <v>1</v>
      </c>
      <c r="C56" s="60"/>
      <c r="D56" s="5" t="s">
        <v>129</v>
      </c>
      <c r="E56" s="60">
        <v>100</v>
      </c>
      <c r="F56" s="71"/>
      <c r="G56" s="76" t="str">
        <f>IFERROR(IF(VLOOKUP(TableHandbook[[#This Row],[UDC]],TableAvailabilities[],2,FALSE)&gt;0,"Y",""),"")</f>
        <v/>
      </c>
      <c r="H56" s="77" t="str">
        <f>IFERROR(IF(VLOOKUP(TableHandbook[[#This Row],[UDC]],TableAvailabilities[],3,FALSE)&gt;0,"Y",""),"")</f>
        <v/>
      </c>
      <c r="I56" s="78" t="str">
        <f>IFERROR(IF(VLOOKUP(TableHandbook[[#This Row],[UDC]],TableAvailabilities[],4,FALSE)&gt;0,"Y",""),"")</f>
        <v/>
      </c>
      <c r="J56" s="79" t="str">
        <f>IFERROR(IF(VLOOKUP(TableHandbook[[#This Row],[UDC]],TableAvailabilities[],5,FALSE)&gt;0,"Y",""),"")</f>
        <v/>
      </c>
      <c r="K56" s="167"/>
      <c r="L56" s="183" t="str">
        <f>IFERROR(VLOOKUP(TableHandbook[[#This Row],[UDC]],TableEOINARCH[],7,FALSE),"")</f>
        <v>AltCore</v>
      </c>
      <c r="M56" s="184" t="str">
        <f>IFERROR(VLOOKUP(TableHandbook[[#This Row],[UDC]],TableEOINARCH1[],7,FALSE),"")</f>
        <v>AltCore</v>
      </c>
      <c r="N56" s="183" t="str">
        <f>IFERROR(VLOOKUP(TableHandbook[[#This Row],[UDC]],TableOUINDSGN[],7,FALSE),"")</f>
        <v>AltCore</v>
      </c>
      <c r="O56" s="184" t="str">
        <f>IFERROR(VLOOKUP(TableHandbook[[#This Row],[UDC]],TableOBINDSGN[],7,FALSE),"")</f>
        <v>AltCore</v>
      </c>
      <c r="P56" s="73" t="str">
        <f>IFERROR(VLOOKUP(TableHandbook[[#This Row],[UDC]],TableOSCUANGAD[],7,FALSE),"")</f>
        <v/>
      </c>
      <c r="Q56" s="74" t="str">
        <f>IFERROR(VLOOKUP(TableHandbook[[#This Row],[UDC]],TableOSCUCONMS[],7,FALSE),"")</f>
        <v/>
      </c>
      <c r="R56" s="74" t="str">
        <f>IFERROR(VLOOKUP(TableHandbook[[#This Row],[UDC]],TableOSCUDIGDE[],7,FALSE),"")</f>
        <v/>
      </c>
      <c r="S56" s="74" t="str">
        <f>IFERROR(VLOOKUP(TableHandbook[[#This Row],[UDC]],TableOSCUPLGEO[],7,FALSE),"")</f>
        <v/>
      </c>
      <c r="T56" s="74" t="str">
        <f>IFERROR(VLOOKUP(TableHandbook[[#This Row],[UDC]],TableOSEUARCHT[],7,FALSE),"")</f>
        <v/>
      </c>
    </row>
    <row r="57" spans="1:20" x14ac:dyDescent="0.25">
      <c r="A57" s="5" t="s">
        <v>121</v>
      </c>
      <c r="B57" s="60">
        <v>1</v>
      </c>
      <c r="C57" s="60"/>
      <c r="D57" s="5" t="s">
        <v>120</v>
      </c>
      <c r="E57" s="60">
        <v>100</v>
      </c>
      <c r="F57" s="71"/>
      <c r="G57" s="76" t="str">
        <f>IFERROR(IF(VLOOKUP(TableHandbook[[#This Row],[UDC]],TableAvailabilities[],2,FALSE)&gt;0,"Y",""),"")</f>
        <v/>
      </c>
      <c r="H57" s="77" t="str">
        <f>IFERROR(IF(VLOOKUP(TableHandbook[[#This Row],[UDC]],TableAvailabilities[],3,FALSE)&gt;0,"Y",""),"")</f>
        <v/>
      </c>
      <c r="I57" s="78" t="str">
        <f>IFERROR(IF(VLOOKUP(TableHandbook[[#This Row],[UDC]],TableAvailabilities[],4,FALSE)&gt;0,"Y",""),"")</f>
        <v/>
      </c>
      <c r="J57" s="79" t="str">
        <f>IFERROR(IF(VLOOKUP(TableHandbook[[#This Row],[UDC]],TableAvailabilities[],5,FALSE)&gt;0,"Y",""),"")</f>
        <v/>
      </c>
      <c r="K57" s="167"/>
      <c r="L57" s="183" t="str">
        <f>IFERROR(VLOOKUP(TableHandbook[[#This Row],[UDC]],TableEOINARCH[],7,FALSE),"")</f>
        <v>AltCore</v>
      </c>
      <c r="M57" s="184" t="str">
        <f>IFERROR(VLOOKUP(TableHandbook[[#This Row],[UDC]],TableEOINARCH1[],7,FALSE),"")</f>
        <v>AltCore</v>
      </c>
      <c r="N57" s="183" t="str">
        <f>IFERROR(VLOOKUP(TableHandbook[[#This Row],[UDC]],TableOUINDSGN[],7,FALSE),"")</f>
        <v>AltCore</v>
      </c>
      <c r="O57" s="184" t="str">
        <f>IFERROR(VLOOKUP(TableHandbook[[#This Row],[UDC]],TableOBINDSGN[],7,FALSE),"")</f>
        <v>AltCore</v>
      </c>
      <c r="P57" s="73" t="str">
        <f>IFERROR(VLOOKUP(TableHandbook[[#This Row],[UDC]],TableOSCUANGAD[],7,FALSE),"")</f>
        <v/>
      </c>
      <c r="Q57" s="74" t="str">
        <f>IFERROR(VLOOKUP(TableHandbook[[#This Row],[UDC]],TableOSCUCONMS[],7,FALSE),"")</f>
        <v/>
      </c>
      <c r="R57" s="74" t="str">
        <f>IFERROR(VLOOKUP(TableHandbook[[#This Row],[UDC]],TableOSCUDIGDE[],7,FALSE),"")</f>
        <v/>
      </c>
      <c r="S57" s="74" t="str">
        <f>IFERROR(VLOOKUP(TableHandbook[[#This Row],[UDC]],TableOSCUPLGEO[],7,FALSE),"")</f>
        <v/>
      </c>
      <c r="T57" s="74" t="str">
        <f>IFERROR(VLOOKUP(TableHandbook[[#This Row],[UDC]],TableOSEUARCHT[],7,FALSE),"")</f>
        <v/>
      </c>
    </row>
    <row r="58" spans="1:20" x14ac:dyDescent="0.25">
      <c r="A58" s="5" t="s">
        <v>172</v>
      </c>
      <c r="B58" s="60">
        <v>3</v>
      </c>
      <c r="C58" s="60" t="s">
        <v>302</v>
      </c>
      <c r="D58" s="5" t="s">
        <v>303</v>
      </c>
      <c r="E58" s="60">
        <v>25</v>
      </c>
      <c r="F58" s="71" t="s">
        <v>205</v>
      </c>
      <c r="G58" s="76" t="str">
        <f>IFERROR(IF(VLOOKUP(TableHandbook[[#This Row],[UDC]],TableAvailabilities[],2,FALSE)&gt;0,"Y",""),"")</f>
        <v>Y</v>
      </c>
      <c r="H58" s="77" t="str">
        <f>IFERROR(IF(VLOOKUP(TableHandbook[[#This Row],[UDC]],TableAvailabilities[],3,FALSE)&gt;0,"Y",""),"")</f>
        <v/>
      </c>
      <c r="I58" s="78" t="str">
        <f>IFERROR(IF(VLOOKUP(TableHandbook[[#This Row],[UDC]],TableAvailabilities[],4,FALSE)&gt;0,"Y",""),"")</f>
        <v>Y</v>
      </c>
      <c r="J58" s="79" t="str">
        <f>IFERROR(IF(VLOOKUP(TableHandbook[[#This Row],[UDC]],TableAvailabilities[],5,FALSE)&gt;0,"Y",""),"")</f>
        <v/>
      </c>
      <c r="K58" s="167"/>
      <c r="L58" s="183" t="str">
        <f>IFERROR(VLOOKUP(TableHandbook[[#This Row],[UDC]],TableEOINARCH[],7,FALSE),"")</f>
        <v/>
      </c>
      <c r="M58" s="184" t="str">
        <f>IFERROR(VLOOKUP(TableHandbook[[#This Row],[UDC]],TableEOINARCH1[],7,FALSE),"")</f>
        <v/>
      </c>
      <c r="N58" s="183" t="str">
        <f>IFERROR(VLOOKUP(TableHandbook[[#This Row],[UDC]],TableOUINDSGN[],7,FALSE),"")</f>
        <v/>
      </c>
      <c r="O58" s="184" t="str">
        <f>IFERROR(VLOOKUP(TableHandbook[[#This Row],[UDC]],TableOBINDSGN[],7,FALSE),"")</f>
        <v/>
      </c>
      <c r="P58" s="73" t="str">
        <f>IFERROR(VLOOKUP(TableHandbook[[#This Row],[UDC]],TableOSCUANGAD[],7,FALSE),"")</f>
        <v/>
      </c>
      <c r="Q58" s="74" t="str">
        <f>IFERROR(VLOOKUP(TableHandbook[[#This Row],[UDC]],TableOSCUCONMS[],7,FALSE),"")</f>
        <v/>
      </c>
      <c r="R58" s="74" t="str">
        <f>IFERROR(VLOOKUP(TableHandbook[[#This Row],[UDC]],TableOSCUDIGDE[],7,FALSE),"")</f>
        <v/>
      </c>
      <c r="S58" s="74" t="str">
        <f>IFERROR(VLOOKUP(TableHandbook[[#This Row],[UDC]],TableOSCUPLGEO[],7,FALSE),"")</f>
        <v>Core</v>
      </c>
      <c r="T58" s="74" t="str">
        <f>IFERROR(VLOOKUP(TableHandbook[[#This Row],[UDC]],TableOSEUARCHT[],7,FALSE),"")</f>
        <v/>
      </c>
    </row>
    <row r="59" spans="1:20" x14ac:dyDescent="0.25">
      <c r="A59" s="5" t="s">
        <v>85</v>
      </c>
      <c r="B59" s="60"/>
      <c r="C59" s="60"/>
      <c r="D59" s="5" t="s">
        <v>304</v>
      </c>
      <c r="E59" s="60">
        <v>25</v>
      </c>
      <c r="F59" s="71" t="s">
        <v>198</v>
      </c>
      <c r="G59" s="191" t="str">
        <f>IFERROR(IF(VLOOKUP(TableHandbook[[#This Row],[UDC]],TableAvailabilities[],2,FALSE)&gt;0,"Y",""),"")</f>
        <v/>
      </c>
      <c r="H59" s="77" t="str">
        <f>IFERROR(IF(VLOOKUP(TableHandbook[[#This Row],[UDC]],TableAvailabilities[],3,FALSE)&gt;0,"Y",""),"")</f>
        <v/>
      </c>
      <c r="I59" s="78" t="str">
        <f>IFERROR(IF(VLOOKUP(TableHandbook[[#This Row],[UDC]],TableAvailabilities[],4,FALSE)&gt;0,"Y",""),"")</f>
        <v/>
      </c>
      <c r="J59" s="79" t="str">
        <f>IFERROR(IF(VLOOKUP(TableHandbook[[#This Row],[UDC]],TableAvailabilities[],5,FALSE)&gt;0,"Y",""),"")</f>
        <v/>
      </c>
      <c r="K59" s="167"/>
      <c r="L59" s="192" t="str">
        <f>IFERROR(VLOOKUP(TableHandbook[[#This Row],[UDC]],TableEOINARCH[],7,FALSE),"")</f>
        <v/>
      </c>
      <c r="M59" s="193" t="str">
        <f>IFERROR(VLOOKUP(TableHandbook[[#This Row],[UDC]],TableEOINARCH1[],7,FALSE),"")</f>
        <v/>
      </c>
      <c r="N59" s="192" t="str">
        <f>IFERROR(VLOOKUP(TableHandbook[[#This Row],[UDC]],TableOUINDSGN[],7,FALSE),"")</f>
        <v/>
      </c>
      <c r="O59" s="193" t="str">
        <f>IFERROR(VLOOKUP(TableHandbook[[#This Row],[UDC]],TableOBINDSGN[],7,FALSE),"")</f>
        <v/>
      </c>
      <c r="P59" s="74" t="str">
        <f>IFERROR(VLOOKUP(TableHandbook[[#This Row],[UDC]],TableOSCUANGAD[],7,FALSE),"")</f>
        <v/>
      </c>
      <c r="Q59" s="74" t="str">
        <f>IFERROR(VLOOKUP(TableHandbook[[#This Row],[UDC]],TableOSCUCONMS[],7,FALSE),"")</f>
        <v/>
      </c>
      <c r="R59" s="74" t="str">
        <f>IFERROR(VLOOKUP(TableHandbook[[#This Row],[UDC]],TableOSCUDIGDE[],7,FALSE),"")</f>
        <v/>
      </c>
      <c r="S59" s="74" t="str">
        <f>IFERROR(VLOOKUP(TableHandbook[[#This Row],[UDC]],TableOSCUPLGEO[],7,FALSE),"")</f>
        <v/>
      </c>
      <c r="T59" s="74" t="str">
        <f>IFERROR(VLOOKUP(TableHandbook[[#This Row],[UDC]],TableOSEUARCHT[],7,FALSE),"")</f>
        <v/>
      </c>
    </row>
    <row r="60" spans="1:20" x14ac:dyDescent="0.25">
      <c r="A60" s="5" t="s">
        <v>305</v>
      </c>
      <c r="B60" s="60">
        <v>0</v>
      </c>
      <c r="C60" s="60"/>
      <c r="D60" s="5" t="s">
        <v>306</v>
      </c>
      <c r="E60" s="60">
        <v>100</v>
      </c>
      <c r="F60" s="71"/>
      <c r="G60" s="76" t="str">
        <f>IFERROR(IF(VLOOKUP(TableHandbook[[#This Row],[UDC]],TableAvailabilities[],2,FALSE)&gt;0,"Y",""),"")</f>
        <v/>
      </c>
      <c r="H60" s="77" t="str">
        <f>IFERROR(IF(VLOOKUP(TableHandbook[[#This Row],[UDC]],TableAvailabilities[],3,FALSE)&gt;0,"Y",""),"")</f>
        <v/>
      </c>
      <c r="I60" s="78" t="str">
        <f>IFERROR(IF(VLOOKUP(TableHandbook[[#This Row],[UDC]],TableAvailabilities[],4,FALSE)&gt;0,"Y",""),"")</f>
        <v/>
      </c>
      <c r="J60" s="79" t="str">
        <f>IFERROR(IF(VLOOKUP(TableHandbook[[#This Row],[UDC]],TableAvailabilities[],5,FALSE)&gt;0,"Y",""),"")</f>
        <v/>
      </c>
      <c r="K60" s="167"/>
      <c r="L60" s="183" t="str">
        <f>IFERROR(VLOOKUP(TableHandbook[[#This Row],[UDC]],TableEOINARCH[],7,FALSE),"")</f>
        <v>AltCore</v>
      </c>
      <c r="M60" s="184" t="str">
        <f>IFERROR(VLOOKUP(TableHandbook[[#This Row],[UDC]],TableEOINARCH1[],7,FALSE),"")</f>
        <v>AltCore</v>
      </c>
      <c r="N60" s="183" t="str">
        <f>IFERROR(VLOOKUP(TableHandbook[[#This Row],[UDC]],TableOUINDSGN[],7,FALSE),"")</f>
        <v>AltCore</v>
      </c>
      <c r="O60" s="184" t="str">
        <f>IFERROR(VLOOKUP(TableHandbook[[#This Row],[UDC]],TableOBINDSGN[],7,FALSE),"")</f>
        <v>AltCore</v>
      </c>
      <c r="P60" s="73" t="str">
        <f>IFERROR(VLOOKUP(TableHandbook[[#This Row],[UDC]],TableOSCUANGAD[],7,FALSE),"")</f>
        <v/>
      </c>
      <c r="Q60" s="74" t="str">
        <f>IFERROR(VLOOKUP(TableHandbook[[#This Row],[UDC]],TableOSCUCONMS[],7,FALSE),"")</f>
        <v/>
      </c>
      <c r="R60" s="74" t="str">
        <f>IFERROR(VLOOKUP(TableHandbook[[#This Row],[UDC]],TableOSCUDIGDE[],7,FALSE),"")</f>
        <v/>
      </c>
      <c r="S60" s="74" t="str">
        <f>IFERROR(VLOOKUP(TableHandbook[[#This Row],[UDC]],TableOSCUPLGEO[],7,FALSE),"")</f>
        <v/>
      </c>
      <c r="T60" s="74" t="str">
        <f>IFERROR(VLOOKUP(TableHandbook[[#This Row],[UDC]],TableOSEUARCHT[],7,FALSE),"")</f>
        <v/>
      </c>
    </row>
    <row r="61" spans="1:20" x14ac:dyDescent="0.25">
      <c r="A61" s="5" t="s">
        <v>160</v>
      </c>
      <c r="B61" s="60">
        <v>1</v>
      </c>
      <c r="C61" s="60" t="s">
        <v>307</v>
      </c>
      <c r="D61" s="5" t="s">
        <v>308</v>
      </c>
      <c r="E61" s="60">
        <v>25</v>
      </c>
      <c r="F61" s="71" t="s">
        <v>205</v>
      </c>
      <c r="G61" s="76" t="str">
        <f>IFERROR(IF(VLOOKUP(TableHandbook[[#This Row],[UDC]],TableAvailabilities[],2,FALSE)&gt;0,"Y",""),"")</f>
        <v>Y</v>
      </c>
      <c r="H61" s="77" t="str">
        <f>IFERROR(IF(VLOOKUP(TableHandbook[[#This Row],[UDC]],TableAvailabilities[],3,FALSE)&gt;0,"Y",""),"")</f>
        <v/>
      </c>
      <c r="I61" s="78" t="str">
        <f>IFERROR(IF(VLOOKUP(TableHandbook[[#This Row],[UDC]],TableAvailabilities[],4,FALSE)&gt;0,"Y",""),"")</f>
        <v>Y</v>
      </c>
      <c r="J61" s="79" t="str">
        <f>IFERROR(IF(VLOOKUP(TableHandbook[[#This Row],[UDC]],TableAvailabilities[],5,FALSE)&gt;0,"Y",""),"")</f>
        <v/>
      </c>
      <c r="K61" s="167"/>
      <c r="L61" s="183" t="str">
        <f>IFERROR(VLOOKUP(TableHandbook[[#This Row],[UDC]],TableEOINARCH[],7,FALSE),"")</f>
        <v/>
      </c>
      <c r="M61" s="184" t="str">
        <f>IFERROR(VLOOKUP(TableHandbook[[#This Row],[UDC]],TableEOINARCH1[],7,FALSE),"")</f>
        <v/>
      </c>
      <c r="N61" s="183" t="str">
        <f>IFERROR(VLOOKUP(TableHandbook[[#This Row],[UDC]],TableOUINDSGN[],7,FALSE),"")</f>
        <v/>
      </c>
      <c r="O61" s="184" t="str">
        <f>IFERROR(VLOOKUP(TableHandbook[[#This Row],[UDC]],TableOBINDSGN[],7,FALSE),"")</f>
        <v/>
      </c>
      <c r="P61" s="73" t="str">
        <f>IFERROR(VLOOKUP(TableHandbook[[#This Row],[UDC]],TableOSCUANGAD[],7,FALSE),"")</f>
        <v/>
      </c>
      <c r="Q61" s="74" t="str">
        <f>IFERROR(VLOOKUP(TableHandbook[[#This Row],[UDC]],TableOSCUCONMS[],7,FALSE),"")</f>
        <v/>
      </c>
      <c r="R61" s="74" t="str">
        <f>IFERROR(VLOOKUP(TableHandbook[[#This Row],[UDC]],TableOSCUDIGDE[],7,FALSE),"")</f>
        <v/>
      </c>
      <c r="S61" s="74" t="str">
        <f>IFERROR(VLOOKUP(TableHandbook[[#This Row],[UDC]],TableOSCUPLGEO[],7,FALSE),"")</f>
        <v>Core</v>
      </c>
      <c r="T61" s="74" t="str">
        <f>IFERROR(VLOOKUP(TableHandbook[[#This Row],[UDC]],TableOSEUARCHT[],7,FALSE),"")</f>
        <v/>
      </c>
    </row>
    <row r="62" spans="1:20" x14ac:dyDescent="0.25">
      <c r="A62" s="5" t="s">
        <v>166</v>
      </c>
      <c r="B62" s="60">
        <v>1</v>
      </c>
      <c r="C62" s="60" t="s">
        <v>309</v>
      </c>
      <c r="D62" s="5" t="s">
        <v>310</v>
      </c>
      <c r="E62" s="60">
        <v>25</v>
      </c>
      <c r="F62" s="71" t="s">
        <v>205</v>
      </c>
      <c r="G62" s="76" t="str">
        <f>IFERROR(IF(VLOOKUP(TableHandbook[[#This Row],[UDC]],TableAvailabilities[],2,FALSE)&gt;0,"Y",""),"")</f>
        <v/>
      </c>
      <c r="H62" s="77" t="str">
        <f>IFERROR(IF(VLOOKUP(TableHandbook[[#This Row],[UDC]],TableAvailabilities[],3,FALSE)&gt;0,"Y",""),"")</f>
        <v>Y</v>
      </c>
      <c r="I62" s="78" t="str">
        <f>IFERROR(IF(VLOOKUP(TableHandbook[[#This Row],[UDC]],TableAvailabilities[],4,FALSE)&gt;0,"Y",""),"")</f>
        <v/>
      </c>
      <c r="J62" s="79" t="str">
        <f>IFERROR(IF(VLOOKUP(TableHandbook[[#This Row],[UDC]],TableAvailabilities[],5,FALSE)&gt;0,"Y",""),"")</f>
        <v>Y</v>
      </c>
      <c r="K62" s="167"/>
      <c r="L62" s="183" t="str">
        <f>IFERROR(VLOOKUP(TableHandbook[[#This Row],[UDC]],TableEOINARCH[],7,FALSE),"")</f>
        <v/>
      </c>
      <c r="M62" s="184" t="str">
        <f>IFERROR(VLOOKUP(TableHandbook[[#This Row],[UDC]],TableEOINARCH1[],7,FALSE),"")</f>
        <v/>
      </c>
      <c r="N62" s="183" t="str">
        <f>IFERROR(VLOOKUP(TableHandbook[[#This Row],[UDC]],TableOUINDSGN[],7,FALSE),"")</f>
        <v/>
      </c>
      <c r="O62" s="184" t="str">
        <f>IFERROR(VLOOKUP(TableHandbook[[#This Row],[UDC]],TableOBINDSGN[],7,FALSE),"")</f>
        <v/>
      </c>
      <c r="P62" s="73" t="str">
        <f>IFERROR(VLOOKUP(TableHandbook[[#This Row],[UDC]],TableOSCUANGAD[],7,FALSE),"")</f>
        <v/>
      </c>
      <c r="Q62" s="74" t="str">
        <f>IFERROR(VLOOKUP(TableHandbook[[#This Row],[UDC]],TableOSCUCONMS[],7,FALSE),"")</f>
        <v/>
      </c>
      <c r="R62" s="74" t="str">
        <f>IFERROR(VLOOKUP(TableHandbook[[#This Row],[UDC]],TableOSCUDIGDE[],7,FALSE),"")</f>
        <v/>
      </c>
      <c r="S62" s="74" t="str">
        <f>IFERROR(VLOOKUP(TableHandbook[[#This Row],[UDC]],TableOSCUPLGEO[],7,FALSE),"")</f>
        <v>Core</v>
      </c>
      <c r="T62" s="74" t="str">
        <f>IFERROR(VLOOKUP(TableHandbook[[#This Row],[UDC]],TableOSEUARCHT[],7,FALSE),"")</f>
        <v/>
      </c>
    </row>
    <row r="63" spans="1:20" x14ac:dyDescent="0.25">
      <c r="A63" s="5" t="s">
        <v>113</v>
      </c>
      <c r="B63" s="60">
        <v>1</v>
      </c>
      <c r="C63" s="60" t="s">
        <v>311</v>
      </c>
      <c r="D63" s="5" t="s">
        <v>312</v>
      </c>
      <c r="E63" s="60">
        <v>25</v>
      </c>
      <c r="F63" s="71" t="s">
        <v>205</v>
      </c>
      <c r="G63" s="76" t="str">
        <f>IFERROR(IF(VLOOKUP(TableHandbook[[#This Row],[UDC]],TableAvailabilities[],2,FALSE)&gt;0,"Y",""),"")</f>
        <v/>
      </c>
      <c r="H63" s="77" t="str">
        <f>IFERROR(IF(VLOOKUP(TableHandbook[[#This Row],[UDC]],TableAvailabilities[],3,FALSE)&gt;0,"Y",""),"")</f>
        <v/>
      </c>
      <c r="I63" s="78" t="str">
        <f>IFERROR(IF(VLOOKUP(TableHandbook[[#This Row],[UDC]],TableAvailabilities[],4,FALSE)&gt;0,"Y",""),"")</f>
        <v/>
      </c>
      <c r="J63" s="79" t="str">
        <f>IFERROR(IF(VLOOKUP(TableHandbook[[#This Row],[UDC]],TableAvailabilities[],5,FALSE)&gt;0,"Y",""),"")</f>
        <v/>
      </c>
      <c r="K63" s="167"/>
      <c r="L63" s="183" t="str">
        <f>IFERROR(VLOOKUP(TableHandbook[[#This Row],[UDC]],TableEOINARCH[],7,FALSE),"")</f>
        <v>Core</v>
      </c>
      <c r="M63" s="184" t="str">
        <f>IFERROR(VLOOKUP(TableHandbook[[#This Row],[UDC]],TableEOINARCH1[],7,FALSE),"")</f>
        <v>Core</v>
      </c>
      <c r="N63" s="183" t="str">
        <f>IFERROR(VLOOKUP(TableHandbook[[#This Row],[UDC]],TableOUINDSGN[],7,FALSE),"")</f>
        <v>Core</v>
      </c>
      <c r="O63" s="184" t="str">
        <f>IFERROR(VLOOKUP(TableHandbook[[#This Row],[UDC]],TableOBINDSGN[],7,FALSE),"")</f>
        <v>Core</v>
      </c>
      <c r="P63" s="73" t="str">
        <f>IFERROR(VLOOKUP(TableHandbook[[#This Row],[UDC]],TableOSCUANGAD[],7,FALSE),"")</f>
        <v/>
      </c>
      <c r="Q63" s="74" t="str">
        <f>IFERROR(VLOOKUP(TableHandbook[[#This Row],[UDC]],TableOSCUCONMS[],7,FALSE),"")</f>
        <v/>
      </c>
      <c r="R63" s="74" t="str">
        <f>IFERROR(VLOOKUP(TableHandbook[[#This Row],[UDC]],TableOSCUDIGDE[],7,FALSE),"")</f>
        <v/>
      </c>
      <c r="S63" s="74" t="str">
        <f>IFERROR(VLOOKUP(TableHandbook[[#This Row],[UDC]],TableOSCUPLGEO[],7,FALSE),"")</f>
        <v/>
      </c>
      <c r="T63" s="74" t="str">
        <f>IFERROR(VLOOKUP(TableHandbook[[#This Row],[UDC]],TableOSEUARCHT[],7,FALSE),"")</f>
        <v/>
      </c>
    </row>
    <row r="64" spans="1:20" x14ac:dyDescent="0.25">
      <c r="A64" s="5" t="s">
        <v>185</v>
      </c>
      <c r="B64" s="60">
        <v>1</v>
      </c>
      <c r="C64" s="60" t="s">
        <v>313</v>
      </c>
      <c r="D64" s="5" t="s">
        <v>314</v>
      </c>
      <c r="E64" s="60">
        <v>25</v>
      </c>
      <c r="F64" s="71" t="s">
        <v>315</v>
      </c>
      <c r="G64" s="76" t="str">
        <f>IFERROR(IF(VLOOKUP(TableHandbook[[#This Row],[UDC]],TableAvailabilities[],2,FALSE)&gt;0,"Y",""),"")</f>
        <v/>
      </c>
      <c r="H64" s="77" t="str">
        <f>IFERROR(IF(VLOOKUP(TableHandbook[[#This Row],[UDC]],TableAvailabilities[],3,FALSE)&gt;0,"Y",""),"")</f>
        <v/>
      </c>
      <c r="I64" s="78" t="str">
        <f>IFERROR(IF(VLOOKUP(TableHandbook[[#This Row],[UDC]],TableAvailabilities[],4,FALSE)&gt;0,"Y",""),"")</f>
        <v/>
      </c>
      <c r="J64" s="79" t="str">
        <f>IFERROR(IF(VLOOKUP(TableHandbook[[#This Row],[UDC]],TableAvailabilities[],5,FALSE)&gt;0,"Y",""),"")</f>
        <v/>
      </c>
      <c r="K64" s="167"/>
      <c r="L64" s="257" t="str">
        <f>IFERROR(VLOOKUP(TableHandbook[[#This Row],[UDC]],TableEOINARCH[],7,FALSE),"")</f>
        <v/>
      </c>
      <c r="M64" s="258" t="str">
        <f>IFERROR(VLOOKUP(TableHandbook[[#This Row],[UDC]],TableEOINARCH1[],7,FALSE),"")</f>
        <v/>
      </c>
      <c r="N64" s="257" t="str">
        <f>IFERROR(VLOOKUP(TableHandbook[[#This Row],[UDC]],TableOUINDSGN[],7,FALSE),"")</f>
        <v/>
      </c>
      <c r="O64" s="258" t="str">
        <f>IFERROR(VLOOKUP(TableHandbook[[#This Row],[UDC]],TableOBINDSGN[],7,FALSE),"")</f>
        <v/>
      </c>
      <c r="P64" s="74" t="str">
        <f>IFERROR(VLOOKUP(TableHandbook[[#This Row],[UDC]],TableOSCUANGAD[],7,FALSE),"")</f>
        <v>AltCore</v>
      </c>
      <c r="Q64" s="74" t="str">
        <f>IFERROR(VLOOKUP(TableHandbook[[#This Row],[UDC]],TableOSCUCONMS[],7,FALSE),"")</f>
        <v/>
      </c>
      <c r="R64" s="74" t="str">
        <f>IFERROR(VLOOKUP(TableHandbook[[#This Row],[UDC]],TableOSCUDIGDE[],7,FALSE),"")</f>
        <v/>
      </c>
      <c r="S64" s="74" t="str">
        <f>IFERROR(VLOOKUP(TableHandbook[[#This Row],[UDC]],TableOSCUPLGEO[],7,FALSE),"")</f>
        <v>AltCore</v>
      </c>
      <c r="T64" s="74" t="str">
        <f>IFERROR(VLOOKUP(TableHandbook[[#This Row],[UDC]],TableOSEUARCHT[],7,FALSE),"")</f>
        <v>Option</v>
      </c>
    </row>
  </sheetData>
  <sortState ref="A24:D37">
    <sortCondition ref="A24"/>
  </sortState>
  <conditionalFormatting sqref="A4:A64">
    <cfRule type="duplicateValues" dxfId="120" priority="108"/>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163"/>
  <sheetViews>
    <sheetView zoomScale="70" zoomScaleNormal="70" workbookViewId="0">
      <selection activeCell="D6" sqref="D6"/>
    </sheetView>
  </sheetViews>
  <sheetFormatPr defaultRowHeight="15.75" x14ac:dyDescent="0.25"/>
  <cols>
    <col min="1" max="1" width="14.625" bestFit="1" customWidth="1"/>
    <col min="2" max="2" width="6.875" style="2" bestFit="1" customWidth="1"/>
    <col min="3" max="3" width="12" bestFit="1" customWidth="1"/>
    <col min="4" max="4" width="60.125" customWidth="1"/>
    <col min="5" max="5" width="8.625" style="2" bestFit="1" customWidth="1"/>
    <col min="6" max="6" width="6.5" bestFit="1" customWidth="1"/>
    <col min="7" max="7" width="18.5" bestFit="1" customWidth="1"/>
    <col min="8" max="8" width="12" bestFit="1" customWidth="1"/>
    <col min="9" max="9" width="14.5" bestFit="1" customWidth="1"/>
    <col min="10" max="10" width="21.125" bestFit="1" customWidth="1"/>
    <col min="11" max="11" width="6.25" customWidth="1"/>
    <col min="12" max="12" width="65.5" customWidth="1"/>
    <col min="13" max="13" width="14.375" bestFit="1" customWidth="1"/>
    <col min="14" max="14" width="12.5" bestFit="1" customWidth="1"/>
    <col min="15" max="15" width="11.25" bestFit="1" customWidth="1"/>
    <col min="17" max="17" width="14.75" bestFit="1" customWidth="1"/>
    <col min="18" max="18" width="11.5" bestFit="1" customWidth="1"/>
    <col min="19" max="19" width="10.125" bestFit="1" customWidth="1"/>
    <col min="21" max="21" width="22.875" customWidth="1"/>
  </cols>
  <sheetData>
    <row r="1" spans="1:18" x14ac:dyDescent="0.25">
      <c r="B1"/>
      <c r="E1"/>
      <c r="F1" s="55"/>
      <c r="G1" s="56" t="s">
        <v>316</v>
      </c>
      <c r="H1" s="57">
        <v>45292</v>
      </c>
      <c r="I1" s="160"/>
      <c r="J1" s="161" t="s">
        <v>81</v>
      </c>
      <c r="K1" s="58" t="s">
        <v>82</v>
      </c>
      <c r="L1" s="160" t="s">
        <v>80</v>
      </c>
      <c r="M1" s="160"/>
      <c r="N1" s="162" t="s">
        <v>317</v>
      </c>
      <c r="O1" s="163">
        <v>45320</v>
      </c>
    </row>
    <row r="2" spans="1:18" x14ac:dyDescent="0.25">
      <c r="A2" t="s">
        <v>0</v>
      </c>
      <c r="B2" s="2" t="s">
        <v>318</v>
      </c>
      <c r="C2" t="s">
        <v>21</v>
      </c>
      <c r="D2" t="s">
        <v>3</v>
      </c>
      <c r="E2" s="59" t="s">
        <v>319</v>
      </c>
      <c r="F2" t="s">
        <v>320</v>
      </c>
      <c r="G2" t="s">
        <v>321</v>
      </c>
      <c r="H2" t="s">
        <v>322</v>
      </c>
      <c r="I2" t="s">
        <v>22</v>
      </c>
      <c r="J2" t="s">
        <v>323</v>
      </c>
      <c r="K2" t="s">
        <v>1</v>
      </c>
      <c r="L2" t="s">
        <v>324</v>
      </c>
      <c r="M2" t="s">
        <v>77</v>
      </c>
      <c r="N2" t="s">
        <v>325</v>
      </c>
      <c r="O2" t="s">
        <v>326</v>
      </c>
      <c r="Q2" t="s">
        <v>327</v>
      </c>
      <c r="R2" t="s">
        <v>328</v>
      </c>
    </row>
    <row r="3" spans="1:18" x14ac:dyDescent="0.25">
      <c r="A3" t="str">
        <f>TableEOINARCH[[#This Row],[Study Package Code]]</f>
        <v>COMS1007</v>
      </c>
      <c r="B3" s="2">
        <f>TableEOINARCH[[#This Row],[Ver]]</f>
        <v>1</v>
      </c>
      <c r="C3" t="str">
        <f>LEFT(TableEOINARCH[[#This Row],[Structure Line]],(FIND(" ",TableEOINARCH[[#This Row],[Structure Line]],1)-1))</f>
        <v>APC100</v>
      </c>
      <c r="D3" t="str">
        <f>MID(TableEOINARCH[[#This Row],[Structure Line]],FIND(" ",TableEOINARCH[[#This Row],[Structure Line]])+3,256)</f>
        <v>Academic and Professional Communications</v>
      </c>
      <c r="E3" s="59">
        <f>TableEOINARCH[[#This Row],[Credit Points]]</f>
        <v>25</v>
      </c>
      <c r="F3">
        <v>1</v>
      </c>
      <c r="G3" t="s">
        <v>329</v>
      </c>
      <c r="H3">
        <v>1</v>
      </c>
      <c r="I3" t="s">
        <v>330</v>
      </c>
      <c r="J3" t="s">
        <v>74</v>
      </c>
      <c r="K3" s="72">
        <v>1</v>
      </c>
      <c r="L3" s="72" t="s">
        <v>331</v>
      </c>
      <c r="M3" s="72">
        <v>25</v>
      </c>
      <c r="N3" s="168">
        <v>42005</v>
      </c>
      <c r="O3" s="168"/>
    </row>
    <row r="4" spans="1:18" x14ac:dyDescent="0.25">
      <c r="A4" t="str">
        <f>TableEOINARCH[[#This Row],[Study Package Code]]</f>
        <v>ARCH1020</v>
      </c>
      <c r="B4" s="2">
        <f>TableEOINARCH[[#This Row],[Ver]]</f>
        <v>3</v>
      </c>
      <c r="C4" t="str">
        <f>LEFT(TableEOINARCH[[#This Row],[Structure Line]],(FIND(" ",TableEOINARCH[[#This Row],[Structure Line]],1)-1))</f>
        <v>BAS115</v>
      </c>
      <c r="D4" t="str">
        <f>MID(TableEOINARCH[[#This Row],[Structure Line]],FIND(" ",TableEOINARCH[[#This Row],[Structure Line]])+1,256)</f>
        <v>Architecture and Interior Architecture Methods 1A - Analogue Literacy</v>
      </c>
      <c r="E4" s="59">
        <f>TableEOINARCH[[#This Row],[Credit Points]]</f>
        <v>25</v>
      </c>
      <c r="F4">
        <v>2</v>
      </c>
      <c r="G4" t="s">
        <v>329</v>
      </c>
      <c r="H4">
        <v>1</v>
      </c>
      <c r="I4" t="s">
        <v>330</v>
      </c>
      <c r="J4" t="s">
        <v>67</v>
      </c>
      <c r="K4" s="72">
        <v>3</v>
      </c>
      <c r="L4" s="72" t="s">
        <v>332</v>
      </c>
      <c r="M4" s="72">
        <v>25</v>
      </c>
      <c r="N4" s="168">
        <v>44562</v>
      </c>
      <c r="O4" s="168"/>
    </row>
    <row r="5" spans="1:18" x14ac:dyDescent="0.25">
      <c r="A5" t="str">
        <f>TableEOINARCH[[#This Row],[Study Package Code]]</f>
        <v>ARCH1024</v>
      </c>
      <c r="B5" s="2">
        <f>TableEOINARCH[[#This Row],[Ver]]</f>
        <v>3</v>
      </c>
      <c r="C5" t="str">
        <f>LEFT(TableEOINARCH[[#This Row],[Structure Line]],(FIND(" ",TableEOINARCH[[#This Row],[Structure Line]],1)-1))</f>
        <v>BAS140</v>
      </c>
      <c r="D5" t="str">
        <f>MID(TableEOINARCH[[#This Row],[Structure Line]],FIND(" ",TableEOINARCH[[#This Row],[Structure Line]])+1,256)</f>
        <v>Architecture and Interior Architecture Design Studio 1 - Small Structures</v>
      </c>
      <c r="E5" s="59">
        <f>TableEOINARCH[[#This Row],[Credit Points]]</f>
        <v>25</v>
      </c>
      <c r="F5">
        <v>3</v>
      </c>
      <c r="G5" t="s">
        <v>329</v>
      </c>
      <c r="H5">
        <v>1</v>
      </c>
      <c r="I5" t="s">
        <v>330</v>
      </c>
      <c r="J5" t="s">
        <v>88</v>
      </c>
      <c r="K5" s="72">
        <v>3</v>
      </c>
      <c r="L5" s="72" t="s">
        <v>333</v>
      </c>
      <c r="M5" s="72">
        <v>25</v>
      </c>
      <c r="N5" s="168">
        <v>44562</v>
      </c>
      <c r="O5" s="168"/>
    </row>
    <row r="6" spans="1:18" x14ac:dyDescent="0.25">
      <c r="A6" t="str">
        <f>TableEOINARCH[[#This Row],[Study Package Code]]</f>
        <v>ARCH1021</v>
      </c>
      <c r="B6" s="2">
        <f>TableEOINARCH[[#This Row],[Ver]]</f>
        <v>3</v>
      </c>
      <c r="C6" t="str">
        <f>LEFT(TableEOINARCH[[#This Row],[Structure Line]],(FIND(" ",TableEOINARCH[[#This Row],[Structure Line]],1)-1))</f>
        <v>BAS145</v>
      </c>
      <c r="D6" t="str">
        <f>MID(TableEOINARCH[[#This Row],[Structure Line]],FIND(" ",TableEOINARCH[[#This Row],[Structure Line]])+1,256)</f>
        <v>Architecture and Interior Architecture Methods 1B - Digital Literacy</v>
      </c>
      <c r="E6" s="59">
        <f>TableEOINARCH[[#This Row],[Credit Points]]</f>
        <v>25</v>
      </c>
      <c r="F6" s="72">
        <v>4</v>
      </c>
      <c r="G6" s="72" t="s">
        <v>329</v>
      </c>
      <c r="H6" s="72">
        <v>1</v>
      </c>
      <c r="I6" s="72" t="s">
        <v>330</v>
      </c>
      <c r="J6" s="72" t="s">
        <v>71</v>
      </c>
      <c r="K6" s="72">
        <v>3</v>
      </c>
      <c r="L6" s="72" t="s">
        <v>334</v>
      </c>
      <c r="M6" s="72">
        <v>25</v>
      </c>
      <c r="N6" s="168">
        <v>44562</v>
      </c>
      <c r="O6" s="168"/>
    </row>
    <row r="7" spans="1:18" x14ac:dyDescent="0.25">
      <c r="A7" t="str">
        <f>TableEOINARCH[[#This Row],[Study Package Code]]</f>
        <v>INAR1011</v>
      </c>
      <c r="B7" s="2">
        <f>TableEOINARCH[[#This Row],[Ver]]</f>
        <v>4</v>
      </c>
      <c r="C7" t="str">
        <f>LEFT(TableEOINARCH[[#This Row],[Structure Line]],(FIND(" ",TableEOINARCH[[#This Row],[Structure Line]],1)-1))</f>
        <v>BIA140</v>
      </c>
      <c r="D7" t="str">
        <f>MID(TableEOINARCH[[#This Row],[Structure Line]],FIND(" ",TableEOINARCH[[#This Row],[Structure Line]])+1,256)</f>
        <v>Interior Architecture Studio - Foundation</v>
      </c>
      <c r="E7" s="59">
        <f>TableEOINARCH[[#This Row],[Credit Points]]</f>
        <v>25</v>
      </c>
      <c r="F7">
        <v>5</v>
      </c>
      <c r="G7" t="s">
        <v>329</v>
      </c>
      <c r="H7">
        <v>1</v>
      </c>
      <c r="I7" t="s">
        <v>330</v>
      </c>
      <c r="J7" t="s">
        <v>73</v>
      </c>
      <c r="K7" s="72">
        <v>4</v>
      </c>
      <c r="L7" s="72" t="s">
        <v>335</v>
      </c>
      <c r="M7" s="72">
        <v>25</v>
      </c>
      <c r="N7" s="168">
        <v>45292</v>
      </c>
      <c r="O7" s="168"/>
    </row>
    <row r="8" spans="1:18" x14ac:dyDescent="0.25">
      <c r="A8" t="str">
        <f>TableEOINARCH[[#This Row],[Study Package Code]]</f>
        <v>INAR1015</v>
      </c>
      <c r="B8" s="2">
        <f>TableEOINARCH[[#This Row],[Ver]]</f>
        <v>1</v>
      </c>
      <c r="C8" t="str">
        <f>LEFT(TableEOINARCH[[#This Row],[Structure Line]],(FIND(" ",TableEOINARCH[[#This Row],[Structure Line]],1)-1))</f>
        <v>BIA170</v>
      </c>
      <c r="D8" t="str">
        <f>MID(TableEOINARCH[[#This Row],[Structure Line]],FIND(" ",TableEOINARCH[[#This Row],[Structure Line]])+1,256)</f>
        <v>History of the Interior</v>
      </c>
      <c r="E8" s="59">
        <f>TableEOINARCH[[#This Row],[Credit Points]]</f>
        <v>25</v>
      </c>
      <c r="F8" s="72">
        <v>6</v>
      </c>
      <c r="G8" s="72" t="s">
        <v>329</v>
      </c>
      <c r="H8" s="72">
        <v>1</v>
      </c>
      <c r="I8" s="72" t="s">
        <v>330</v>
      </c>
      <c r="J8" s="72" t="s">
        <v>87</v>
      </c>
      <c r="K8" s="72">
        <v>1</v>
      </c>
      <c r="L8" s="72" t="s">
        <v>336</v>
      </c>
      <c r="M8" s="72">
        <v>25</v>
      </c>
      <c r="N8" s="168">
        <v>43101</v>
      </c>
      <c r="O8" s="168"/>
    </row>
    <row r="9" spans="1:18" x14ac:dyDescent="0.25">
      <c r="A9" t="str">
        <f>TableEOINARCH[[#This Row],[Study Package Code]]</f>
        <v>ARCH2029</v>
      </c>
      <c r="B9" s="2">
        <f>TableEOINARCH[[#This Row],[Ver]]</f>
        <v>3</v>
      </c>
      <c r="C9" t="str">
        <f>LEFT(TableEOINARCH[[#This Row],[Structure Line]],(FIND(" ",TableEOINARCH[[#This Row],[Structure Line]],1)-1))</f>
        <v>BAS200</v>
      </c>
      <c r="D9" t="str">
        <f>MID(TableEOINARCH[[#This Row],[Structure Line]],FIND(" ",TableEOINARCH[[#This Row],[Structure Line]])+1,256)</f>
        <v>Architecture and Interior Architecture Design Studio 2A - Residential Typology and Grammar</v>
      </c>
      <c r="E9" s="59">
        <f>TableEOINARCH[[#This Row],[Credit Points]]</f>
        <v>25</v>
      </c>
      <c r="F9">
        <v>7</v>
      </c>
      <c r="G9" t="s">
        <v>329</v>
      </c>
      <c r="H9">
        <v>2</v>
      </c>
      <c r="I9" t="s">
        <v>330</v>
      </c>
      <c r="J9" t="s">
        <v>105</v>
      </c>
      <c r="K9" s="72">
        <v>3</v>
      </c>
      <c r="L9" s="72" t="s">
        <v>337</v>
      </c>
      <c r="M9" s="72">
        <v>25</v>
      </c>
      <c r="N9" s="168">
        <v>44562</v>
      </c>
      <c r="O9" s="168"/>
    </row>
    <row r="10" spans="1:18" x14ac:dyDescent="0.25">
      <c r="A10" t="str">
        <f>TableEOINARCH[[#This Row],[Study Package Code]]</f>
        <v>ARCH2027</v>
      </c>
      <c r="B10" s="2">
        <f>TableEOINARCH[[#This Row],[Ver]]</f>
        <v>3</v>
      </c>
      <c r="C10" t="str">
        <f>LEFT(TableEOINARCH[[#This Row],[Structure Line]],(FIND(" ",TableEOINARCH[[#This Row],[Structure Line]],1)-1))</f>
        <v>BAS235</v>
      </c>
      <c r="D10" t="str">
        <f>MID(TableEOINARCH[[#This Row],[Structure Line]],FIND(" ",TableEOINARCH[[#This Row],[Structure Line]])+1,256)</f>
        <v>Architecture Methods 2B - Information Visualisation</v>
      </c>
      <c r="E10" s="59">
        <f>TableEOINARCH[[#This Row],[Credit Points]]</f>
        <v>25</v>
      </c>
      <c r="F10">
        <v>8</v>
      </c>
      <c r="G10" t="s">
        <v>329</v>
      </c>
      <c r="H10">
        <v>2</v>
      </c>
      <c r="I10" t="s">
        <v>330</v>
      </c>
      <c r="J10" t="s">
        <v>107</v>
      </c>
      <c r="K10" s="72">
        <v>3</v>
      </c>
      <c r="L10" s="72" t="s">
        <v>338</v>
      </c>
      <c r="M10" s="72">
        <v>25</v>
      </c>
      <c r="N10" s="168">
        <v>44562</v>
      </c>
      <c r="O10" s="168"/>
    </row>
    <row r="11" spans="1:18" x14ac:dyDescent="0.25">
      <c r="A11" t="str">
        <f>TableEOINARCH[[#This Row],[Study Package Code]]</f>
        <v>INAR2020</v>
      </c>
      <c r="B11" s="2">
        <f>TableEOINARCH[[#This Row],[Ver]]</f>
        <v>2</v>
      </c>
      <c r="C11" t="str">
        <f>LEFT(TableEOINARCH[[#This Row],[Structure Line]],(FIND(" ",TableEOINARCH[[#This Row],[Structure Line]],1)-1))</f>
        <v>BIA200</v>
      </c>
      <c r="D11" t="str">
        <f>MID(TableEOINARCH[[#This Row],[Structure Line]],FIND(" ",TableEOINARCH[[#This Row],[Structure Line]])+1,256)</f>
        <v>Interior Architecture Fundamentals</v>
      </c>
      <c r="E11" s="59">
        <f>TableEOINARCH[[#This Row],[Credit Points]]</f>
        <v>25</v>
      </c>
      <c r="F11">
        <v>9</v>
      </c>
      <c r="G11" t="s">
        <v>329</v>
      </c>
      <c r="H11">
        <v>2</v>
      </c>
      <c r="I11" t="s">
        <v>330</v>
      </c>
      <c r="J11" t="s">
        <v>92</v>
      </c>
      <c r="K11" s="72">
        <v>2</v>
      </c>
      <c r="L11" s="72" t="s">
        <v>339</v>
      </c>
      <c r="M11" s="72">
        <v>25</v>
      </c>
      <c r="N11" s="168">
        <v>45292</v>
      </c>
      <c r="O11" s="168"/>
    </row>
    <row r="12" spans="1:18" x14ac:dyDescent="0.25">
      <c r="A12" t="str">
        <f>TableEOINARCH[[#This Row],[Study Package Code]]</f>
        <v>INAR2015</v>
      </c>
      <c r="B12" s="2">
        <f>TableEOINARCH[[#This Row],[Ver]]</f>
        <v>4</v>
      </c>
      <c r="C12" t="str">
        <f>LEFT(TableEOINARCH[[#This Row],[Structure Line]],(FIND(" ",TableEOINARCH[[#This Row],[Structure Line]],1)-1))</f>
        <v>BIA250</v>
      </c>
      <c r="D12" t="str">
        <f>MID(TableEOINARCH[[#This Row],[Structure Line]],FIND(" ",TableEOINARCH[[#This Row],[Structure Line]])+1,256)</f>
        <v>Interior Architecture Studio – Community</v>
      </c>
      <c r="E12" s="59">
        <f>TableEOINARCH[[#This Row],[Credit Points]]</f>
        <v>25</v>
      </c>
      <c r="F12">
        <v>10</v>
      </c>
      <c r="G12" t="s">
        <v>329</v>
      </c>
      <c r="H12">
        <v>2</v>
      </c>
      <c r="I12" t="s">
        <v>330</v>
      </c>
      <c r="J12" t="s">
        <v>100</v>
      </c>
      <c r="K12" s="72">
        <v>4</v>
      </c>
      <c r="L12" s="72" t="s">
        <v>340</v>
      </c>
      <c r="M12" s="72">
        <v>25</v>
      </c>
      <c r="N12" s="168">
        <v>45292</v>
      </c>
      <c r="O12" s="168"/>
    </row>
    <row r="13" spans="1:18" x14ac:dyDescent="0.25">
      <c r="A13" t="str">
        <f>TableEOINARCH[[#This Row],[Study Package Code]]</f>
        <v>INAR2023</v>
      </c>
      <c r="B13" s="2">
        <f>TableEOINARCH[[#This Row],[Ver]]</f>
        <v>1</v>
      </c>
      <c r="C13" t="str">
        <f>LEFT(TableEOINARCH[[#This Row],[Structure Line]],(FIND(" ",TableEOINARCH[[#This Row],[Structure Line]],1)-1))</f>
        <v>BIA280</v>
      </c>
      <c r="D13" t="str">
        <f>MID(TableEOINARCH[[#This Row],[Structure Line]],FIND(" ",TableEOINARCH[[#This Row],[Structure Line]])+1,256)</f>
        <v>Philosophy and Practice</v>
      </c>
      <c r="E13" s="59">
        <f>TableEOINARCH[[#This Row],[Credit Points]]</f>
        <v>25</v>
      </c>
      <c r="F13">
        <v>11</v>
      </c>
      <c r="G13" t="s">
        <v>329</v>
      </c>
      <c r="H13">
        <v>2</v>
      </c>
      <c r="I13" t="s">
        <v>330</v>
      </c>
      <c r="J13" t="s">
        <v>93</v>
      </c>
      <c r="K13" s="72">
        <v>1</v>
      </c>
      <c r="L13" s="72" t="s">
        <v>341</v>
      </c>
      <c r="M13" s="72">
        <v>25</v>
      </c>
      <c r="N13" s="168">
        <v>44562</v>
      </c>
      <c r="O13" s="168"/>
    </row>
    <row r="14" spans="1:18" x14ac:dyDescent="0.25">
      <c r="A14" t="str">
        <f>TableEOINARCH[[#This Row],[Study Package Code]]</f>
        <v>GRDE2045</v>
      </c>
      <c r="B14" s="2">
        <f>TableEOINARCH[[#This Row],[Ver]]</f>
        <v>1</v>
      </c>
      <c r="C14" t="str">
        <f>LEFT(TableEOINARCH[[#This Row],[Structure Line]],(FIND(" ",TableEOINARCH[[#This Row],[Structure Line]],1)-1))</f>
        <v>DSN200</v>
      </c>
      <c r="D14" t="str">
        <f>MID(TableEOINARCH[[#This Row],[Structure Line]],FIND(" ",TableEOINARCH[[#This Row],[Structure Line]])+1,256)</f>
        <v>3D Modelling and Digital Fabrication</v>
      </c>
      <c r="E14" s="59">
        <f>TableEOINARCH[[#This Row],[Credit Points]]</f>
        <v>25</v>
      </c>
      <c r="F14" s="72">
        <v>12</v>
      </c>
      <c r="G14" s="72" t="s">
        <v>329</v>
      </c>
      <c r="H14" s="72">
        <v>2</v>
      </c>
      <c r="I14" s="72" t="s">
        <v>330</v>
      </c>
      <c r="J14" s="72" t="s">
        <v>109</v>
      </c>
      <c r="K14" s="72">
        <v>1</v>
      </c>
      <c r="L14" s="72" t="s">
        <v>342</v>
      </c>
      <c r="M14" s="72">
        <v>25</v>
      </c>
      <c r="N14" s="168">
        <v>45292</v>
      </c>
      <c r="O14" s="168"/>
    </row>
    <row r="15" spans="1:18" x14ac:dyDescent="0.25">
      <c r="A15" t="str">
        <f>TableEOINARCH[[#This Row],[Study Package Code]]</f>
        <v>ARCH3015</v>
      </c>
      <c r="B15" s="2">
        <f>TableEOINARCH[[#This Row],[Ver]]</f>
        <v>4</v>
      </c>
      <c r="C15" t="str">
        <f>LEFT(TableEOINARCH[[#This Row],[Structure Line]],(FIND(" ",TableEOINARCH[[#This Row],[Structure Line]],1)-1))</f>
        <v>BAS310</v>
      </c>
      <c r="D15" t="str">
        <f>MID(TableEOINARCH[[#This Row],[Structure Line]],FIND(" ",TableEOINARCH[[#This Row],[Structure Line]])+1,256)</f>
        <v>Environmental and Building Systems in Architecture</v>
      </c>
      <c r="E15" s="59">
        <f>TableEOINARCH[[#This Row],[Credit Points]]</f>
        <v>25</v>
      </c>
      <c r="F15">
        <v>13</v>
      </c>
      <c r="G15" t="s">
        <v>329</v>
      </c>
      <c r="H15">
        <v>3</v>
      </c>
      <c r="I15" t="s">
        <v>330</v>
      </c>
      <c r="J15" t="s">
        <v>122</v>
      </c>
      <c r="K15" s="72">
        <v>4</v>
      </c>
      <c r="L15" s="72" t="s">
        <v>343</v>
      </c>
      <c r="M15" s="72">
        <v>25</v>
      </c>
      <c r="N15" s="168">
        <v>44562</v>
      </c>
      <c r="O15" s="168"/>
    </row>
    <row r="16" spans="1:18" x14ac:dyDescent="0.25">
      <c r="A16" t="str">
        <f>TableEOINARCH[[#This Row],[Study Package Code]]</f>
        <v>INAR2025</v>
      </c>
      <c r="B16" s="2">
        <f>TableEOINARCH[[#This Row],[Ver]]</f>
        <v>1</v>
      </c>
      <c r="C16" t="str">
        <f>LEFT(TableEOINARCH[[#This Row],[Structure Line]],(FIND(" ",TableEOINARCH[[#This Row],[Structure Line]],1)-1))</f>
        <v>BIA290</v>
      </c>
      <c r="D16" t="str">
        <f>MID(TableEOINARCH[[#This Row],[Structure Line]],FIND(" ",TableEOINARCH[[#This Row],[Structure Line]])+1,256)</f>
        <v>Design Fabrication</v>
      </c>
      <c r="E16" s="59">
        <f>TableEOINARCH[[#This Row],[Credit Points]]</f>
        <v>25</v>
      </c>
      <c r="F16">
        <v>14</v>
      </c>
      <c r="G16" t="s">
        <v>329</v>
      </c>
      <c r="H16">
        <v>3</v>
      </c>
      <c r="I16" t="s">
        <v>330</v>
      </c>
      <c r="J16" t="s">
        <v>119</v>
      </c>
      <c r="K16" s="72">
        <v>1</v>
      </c>
      <c r="L16" s="72" t="s">
        <v>344</v>
      </c>
      <c r="M16" s="72">
        <v>25</v>
      </c>
      <c r="N16" s="168">
        <v>45292</v>
      </c>
      <c r="O16" s="168"/>
    </row>
    <row r="17" spans="1:15" x14ac:dyDescent="0.25">
      <c r="A17" t="str">
        <f>TableEOINARCH[[#This Row],[Study Package Code]]</f>
        <v>INAR3012</v>
      </c>
      <c r="B17" s="2">
        <f>TableEOINARCH[[#This Row],[Ver]]</f>
        <v>4</v>
      </c>
      <c r="C17" t="str">
        <f>LEFT(TableEOINARCH[[#This Row],[Structure Line]],(FIND(" ",TableEOINARCH[[#This Row],[Structure Line]],1)-1))</f>
        <v>BIA300</v>
      </c>
      <c r="D17" t="str">
        <f>MID(TableEOINARCH[[#This Row],[Structure Line]],FIND(" ",TableEOINARCH[[#This Row],[Structure Line]])+1,256)</f>
        <v>Interior Architecture Studio - Well-being</v>
      </c>
      <c r="E17" s="59">
        <f>TableEOINARCH[[#This Row],[Credit Points]]</f>
        <v>25</v>
      </c>
      <c r="F17">
        <v>15</v>
      </c>
      <c r="G17" t="s">
        <v>329</v>
      </c>
      <c r="H17">
        <v>3</v>
      </c>
      <c r="I17" t="s">
        <v>330</v>
      </c>
      <c r="J17" t="s">
        <v>128</v>
      </c>
      <c r="K17" s="72">
        <v>4</v>
      </c>
      <c r="L17" s="72" t="s">
        <v>345</v>
      </c>
      <c r="M17" s="72">
        <v>25</v>
      </c>
      <c r="N17" s="168">
        <v>45383</v>
      </c>
      <c r="O17" s="168"/>
    </row>
    <row r="18" spans="1:15" x14ac:dyDescent="0.25">
      <c r="A18" t="str">
        <f>TableEOINARCH[[#This Row],[Study Package Code]]</f>
        <v>INAR3023</v>
      </c>
      <c r="B18" s="2">
        <f>TableEOINARCH[[#This Row],[Ver]]</f>
        <v>1</v>
      </c>
      <c r="C18" t="str">
        <f>LEFT(TableEOINARCH[[#This Row],[Structure Line]],(FIND(" ",TableEOINARCH[[#This Row],[Structure Line]],1)-1))</f>
        <v>BIA305</v>
      </c>
      <c r="D18" t="str">
        <f>MID(TableEOINARCH[[#This Row],[Structure Line]],FIND(" ",TableEOINARCH[[#This Row],[Structure Line]])+1,256)</f>
        <v>Interior Architecture Practice 1</v>
      </c>
      <c r="E18" s="59">
        <f>TableEOINARCH[[#This Row],[Credit Points]]</f>
        <v>25</v>
      </c>
      <c r="F18" s="72">
        <v>16</v>
      </c>
      <c r="G18" s="72" t="s">
        <v>329</v>
      </c>
      <c r="H18" s="72">
        <v>3</v>
      </c>
      <c r="I18" s="72" t="s">
        <v>330</v>
      </c>
      <c r="J18" s="72" t="s">
        <v>132</v>
      </c>
      <c r="K18" s="72">
        <v>1</v>
      </c>
      <c r="L18" s="72" t="s">
        <v>346</v>
      </c>
      <c r="M18" s="72">
        <v>25</v>
      </c>
      <c r="N18" s="168">
        <v>45292</v>
      </c>
      <c r="O18" s="168"/>
    </row>
    <row r="19" spans="1:15" x14ac:dyDescent="0.25">
      <c r="A19" t="str">
        <f>TableEOINARCH[[#This Row],[Study Package Code]]</f>
        <v>INAR3025</v>
      </c>
      <c r="B19" s="2">
        <f>TableEOINARCH[[#This Row],[Ver]]</f>
        <v>1</v>
      </c>
      <c r="C19" t="str">
        <f>LEFT(TableEOINARCH[[#This Row],[Structure Line]],(FIND(" ",TableEOINARCH[[#This Row],[Structure Line]],1)-1))</f>
        <v>BIA315</v>
      </c>
      <c r="D19" t="str">
        <f>MID(TableEOINARCH[[#This Row],[Structure Line]],FIND(" ",TableEOINARCH[[#This Row],[Structure Line]])+1,256)</f>
        <v>Interior Architecture Practice 2</v>
      </c>
      <c r="E19" s="59">
        <f>TableEOINARCH[[#This Row],[Credit Points]]</f>
        <v>25</v>
      </c>
      <c r="F19" s="72">
        <v>17</v>
      </c>
      <c r="G19" s="72" t="s">
        <v>329</v>
      </c>
      <c r="H19" s="72">
        <v>3</v>
      </c>
      <c r="I19" s="72" t="s">
        <v>330</v>
      </c>
      <c r="J19" s="72" t="s">
        <v>133</v>
      </c>
      <c r="K19" s="72">
        <v>1</v>
      </c>
      <c r="L19" s="72" t="s">
        <v>347</v>
      </c>
      <c r="M19" s="72">
        <v>25</v>
      </c>
      <c r="N19" s="168">
        <v>45292</v>
      </c>
      <c r="O19" s="168"/>
    </row>
    <row r="20" spans="1:15" x14ac:dyDescent="0.25">
      <c r="A20" t="str">
        <f>TableEOINARCH[[#This Row],[Study Package Code]]</f>
        <v>INAR3017</v>
      </c>
      <c r="B20" s="2">
        <f>TableEOINARCH[[#This Row],[Ver]]</f>
        <v>3</v>
      </c>
      <c r="C20" t="str">
        <f>LEFT(TableEOINARCH[[#This Row],[Structure Line]],(FIND(" ",TableEOINARCH[[#This Row],[Structure Line]],1)-1))</f>
        <v>BIA360</v>
      </c>
      <c r="D20" t="str">
        <f>MID(TableEOINARCH[[#This Row],[Structure Line]],FIND(" ",TableEOINARCH[[#This Row],[Structure Line]])+1,256)</f>
        <v>Interior Architecture Studio - Workplace</v>
      </c>
      <c r="E20" s="59">
        <f>TableEOINARCH[[#This Row],[Credit Points]]</f>
        <v>25</v>
      </c>
      <c r="F20">
        <v>18</v>
      </c>
      <c r="G20" t="s">
        <v>329</v>
      </c>
      <c r="H20">
        <v>3</v>
      </c>
      <c r="I20" t="s">
        <v>330</v>
      </c>
      <c r="J20" t="s">
        <v>131</v>
      </c>
      <c r="K20" s="72">
        <v>3</v>
      </c>
      <c r="L20" s="72" t="s">
        <v>348</v>
      </c>
      <c r="M20" s="72">
        <v>25</v>
      </c>
      <c r="N20" s="168">
        <v>45292</v>
      </c>
      <c r="O20" s="168"/>
    </row>
    <row r="21" spans="1:15" x14ac:dyDescent="0.25">
      <c r="A21" t="str">
        <f>TableEOINARCH[[#This Row],[Study Package Code]]</f>
        <v>INAR3021</v>
      </c>
      <c r="B21" s="2">
        <f>TableEOINARCH[[#This Row],[Ver]]</f>
        <v>1</v>
      </c>
      <c r="C21" t="str">
        <f>LEFT(TableEOINARCH[[#This Row],[Structure Line]],(FIND(" ",TableEOINARCH[[#This Row],[Structure Line]],1)-1))</f>
        <v>BIA390</v>
      </c>
      <c r="D21" t="str">
        <f>MID(TableEOINARCH[[#This Row],[Structure Line]],FIND(" ",TableEOINARCH[[#This Row],[Structure Line]])+1,256)</f>
        <v>Furniture Design</v>
      </c>
      <c r="E21" s="59">
        <f>TableEOINARCH[[#This Row],[Credit Points]]</f>
        <v>25</v>
      </c>
      <c r="F21">
        <v>19</v>
      </c>
      <c r="G21" t="s">
        <v>329</v>
      </c>
      <c r="H21">
        <v>3</v>
      </c>
      <c r="I21" t="s">
        <v>330</v>
      </c>
      <c r="J21" t="s">
        <v>125</v>
      </c>
      <c r="K21" s="72">
        <v>1</v>
      </c>
      <c r="L21" s="72" t="s">
        <v>349</v>
      </c>
      <c r="M21" s="72">
        <v>25</v>
      </c>
      <c r="N21" s="168">
        <v>45292</v>
      </c>
      <c r="O21" s="168"/>
    </row>
    <row r="22" spans="1:15" x14ac:dyDescent="0.25">
      <c r="A22" t="str">
        <f>TableEOINARCH[[#This Row],[Study Package Code]]</f>
        <v>URDE3011</v>
      </c>
      <c r="B22" s="2">
        <f>TableEOINARCH[[#This Row],[Ver]]</f>
        <v>1</v>
      </c>
      <c r="C22" t="str">
        <f>LEFT(TableEOINARCH[[#This Row],[Structure Line]],(FIND(" ",TableEOINARCH[[#This Row],[Structure Line]],1)-1))</f>
        <v>DBE300</v>
      </c>
      <c r="D22" t="str">
        <f>MID(TableEOINARCH[[#This Row],[Structure Line]],FIND(" ",TableEOINARCH[[#This Row],[Structure Line]])+1,256)</f>
        <v>Design and Built Environment Research Methods</v>
      </c>
      <c r="E22" s="59">
        <f>TableEOINARCH[[#This Row],[Credit Points]]</f>
        <v>25</v>
      </c>
      <c r="F22">
        <v>20</v>
      </c>
      <c r="G22" t="s">
        <v>329</v>
      </c>
      <c r="H22">
        <v>3</v>
      </c>
      <c r="I22" t="s">
        <v>330</v>
      </c>
      <c r="J22" t="s">
        <v>113</v>
      </c>
      <c r="K22" s="72">
        <v>1</v>
      </c>
      <c r="L22" s="72" t="s">
        <v>350</v>
      </c>
      <c r="M22" s="72">
        <v>25</v>
      </c>
      <c r="N22" s="168">
        <v>44562</v>
      </c>
      <c r="O22" s="168"/>
    </row>
    <row r="23" spans="1:15" x14ac:dyDescent="0.25">
      <c r="A23" t="str">
        <f>TableEOINARCH[[#This Row],[Study Package Code]]</f>
        <v>INAR4024</v>
      </c>
      <c r="B23" s="2">
        <f>TableEOINARCH[[#This Row],[Ver]]</f>
        <v>1</v>
      </c>
      <c r="C23" t="str">
        <f>LEFT(TableEOINARCH[[#This Row],[Structure Line]],(FIND(" ",TableEOINARCH[[#This Row],[Structure Line]],1)-1))</f>
        <v>BIA415</v>
      </c>
      <c r="D23" t="str">
        <f>MID(TableEOINARCH[[#This Row],[Structure Line]],FIND(" ",TableEOINARCH[[#This Row],[Structure Line]])+1,256)</f>
        <v>Adaptive Reuse and Heritage</v>
      </c>
      <c r="E23" s="59">
        <f>TableEOINARCH[[#This Row],[Credit Points]]</f>
        <v>25</v>
      </c>
      <c r="F23">
        <v>21</v>
      </c>
      <c r="G23" t="s">
        <v>329</v>
      </c>
      <c r="H23">
        <v>4</v>
      </c>
      <c r="I23" t="s">
        <v>330</v>
      </c>
      <c r="J23" t="s">
        <v>136</v>
      </c>
      <c r="K23" s="72">
        <v>1</v>
      </c>
      <c r="L23" s="72" t="s">
        <v>351</v>
      </c>
      <c r="M23" s="72">
        <v>25</v>
      </c>
      <c r="N23" s="168">
        <v>45292</v>
      </c>
      <c r="O23" s="168"/>
    </row>
    <row r="24" spans="1:15" x14ac:dyDescent="0.25">
      <c r="A24" t="str">
        <f>TableEOINARCH[[#This Row],[Study Package Code]]</f>
        <v>INAR4026</v>
      </c>
      <c r="B24" s="2">
        <f>TableEOINARCH[[#This Row],[Ver]]</f>
        <v>1</v>
      </c>
      <c r="C24" t="str">
        <f>LEFT(TableEOINARCH[[#This Row],[Structure Line]],(FIND(" ",TableEOINARCH[[#This Row],[Structure Line]],1)-1))</f>
        <v>BIA425</v>
      </c>
      <c r="D24" t="str">
        <f>MID(TableEOINARCH[[#This Row],[Structure Line]],FIND(" ",TableEOINARCH[[#This Row],[Structure Line]])+1,256)</f>
        <v>Design for Indoor Comfort</v>
      </c>
      <c r="E24" s="59">
        <f>TableEOINARCH[[#This Row],[Credit Points]]</f>
        <v>25</v>
      </c>
      <c r="F24">
        <v>22</v>
      </c>
      <c r="G24" t="s">
        <v>329</v>
      </c>
      <c r="H24">
        <v>4</v>
      </c>
      <c r="I24" t="s">
        <v>330</v>
      </c>
      <c r="J24" t="s">
        <v>141</v>
      </c>
      <c r="K24" s="72">
        <v>1</v>
      </c>
      <c r="L24" s="72" t="s">
        <v>352</v>
      </c>
      <c r="M24" s="72">
        <v>25</v>
      </c>
      <c r="N24" s="168">
        <v>45292</v>
      </c>
      <c r="O24" s="168"/>
    </row>
    <row r="25" spans="1:15" x14ac:dyDescent="0.25">
      <c r="A25" t="str">
        <f>TableEOINARCH[[#This Row],[Study Package Code]]</f>
        <v>INAR4028</v>
      </c>
      <c r="B25" s="2">
        <f>TableEOINARCH[[#This Row],[Ver]]</f>
        <v>1</v>
      </c>
      <c r="C25" t="str">
        <f>LEFT(TableEOINARCH[[#This Row],[Structure Line]],(FIND(" ",TableEOINARCH[[#This Row],[Structure Line]],1)-1))</f>
        <v>BIA435</v>
      </c>
      <c r="D25" t="str">
        <f>MID(TableEOINARCH[[#This Row],[Structure Line]],FIND(" ",TableEOINARCH[[#This Row],[Structure Line]])+1,256)</f>
        <v>Interior Lighting Design</v>
      </c>
      <c r="E25" s="59">
        <f>TableEOINARCH[[#This Row],[Credit Points]]</f>
        <v>25</v>
      </c>
      <c r="F25">
        <v>23</v>
      </c>
      <c r="G25" t="s">
        <v>329</v>
      </c>
      <c r="H25">
        <v>4</v>
      </c>
      <c r="I25" t="s">
        <v>330</v>
      </c>
      <c r="J25" t="s">
        <v>143</v>
      </c>
      <c r="K25" s="72">
        <v>1</v>
      </c>
      <c r="L25" s="72" t="s">
        <v>353</v>
      </c>
      <c r="M25" s="72">
        <v>25</v>
      </c>
      <c r="N25" s="168">
        <v>45292</v>
      </c>
      <c r="O25" s="168"/>
    </row>
    <row r="26" spans="1:15" x14ac:dyDescent="0.25">
      <c r="A26" t="str">
        <f>TableEOINARCH[[#This Row],[Study Package Code]]</f>
        <v>INAR4030</v>
      </c>
      <c r="B26" s="2">
        <f>TableEOINARCH[[#This Row],[Ver]]</f>
        <v>1</v>
      </c>
      <c r="C26" t="str">
        <f>LEFT(TableEOINARCH[[#This Row],[Structure Line]],(FIND(" ",TableEOINARCH[[#This Row],[Structure Line]],1)-1))</f>
        <v>BIA445</v>
      </c>
      <c r="D26" t="str">
        <f>MID(TableEOINARCH[[#This Row],[Structure Line]],FIND(" ",TableEOINARCH[[#This Row],[Structure Line]])+1,256)</f>
        <v>Sustainable Future and the Built Environment</v>
      </c>
      <c r="E26" s="59">
        <f>TableEOINARCH[[#This Row],[Credit Points]]</f>
        <v>25</v>
      </c>
      <c r="F26">
        <v>24</v>
      </c>
      <c r="G26" t="s">
        <v>329</v>
      </c>
      <c r="H26">
        <v>4</v>
      </c>
      <c r="I26" t="s">
        <v>330</v>
      </c>
      <c r="J26" t="s">
        <v>145</v>
      </c>
      <c r="K26" s="72">
        <v>1</v>
      </c>
      <c r="L26" s="72" t="s">
        <v>354</v>
      </c>
      <c r="M26" s="72">
        <v>25</v>
      </c>
      <c r="N26" s="168">
        <v>45292</v>
      </c>
      <c r="O26" s="168"/>
    </row>
    <row r="27" spans="1:15" x14ac:dyDescent="0.25">
      <c r="A27" t="str">
        <f>TableEOINARCH[[#This Row],[Study Package Code]]</f>
        <v>INAR4032</v>
      </c>
      <c r="B27" s="2">
        <f>TableEOINARCH[[#This Row],[Ver]]</f>
        <v>1</v>
      </c>
      <c r="C27" t="str">
        <f>LEFT(TableEOINARCH[[#This Row],[Structure Line]],(FIND(" ",TableEOINARCH[[#This Row],[Structure Line]],1)-1))</f>
        <v>BIA455</v>
      </c>
      <c r="D27" t="str">
        <f>MID(TableEOINARCH[[#This Row],[Structure Line]],FIND(" ",TableEOINARCH[[#This Row],[Structure Line]])+1,256)</f>
        <v>Interior Architecture Honours Proposal</v>
      </c>
      <c r="E27" s="59">
        <f>TableEOINARCH[[#This Row],[Credit Points]]</f>
        <v>50</v>
      </c>
      <c r="F27">
        <v>25</v>
      </c>
      <c r="G27" t="s">
        <v>329</v>
      </c>
      <c r="H27">
        <v>4</v>
      </c>
      <c r="I27" t="s">
        <v>330</v>
      </c>
      <c r="J27" t="s">
        <v>147</v>
      </c>
      <c r="K27" s="72">
        <v>1</v>
      </c>
      <c r="L27" s="72" t="s">
        <v>355</v>
      </c>
      <c r="M27" s="72">
        <v>50</v>
      </c>
      <c r="N27" s="168">
        <v>45292</v>
      </c>
      <c r="O27" s="168"/>
    </row>
    <row r="28" spans="1:15" x14ac:dyDescent="0.25">
      <c r="A28" t="str">
        <f>TableEOINARCH[[#This Row],[Study Package Code]]</f>
        <v>INAR4034</v>
      </c>
      <c r="B28" s="2">
        <f>TableEOINARCH[[#This Row],[Ver]]</f>
        <v>1</v>
      </c>
      <c r="C28" t="str">
        <f>LEFT(TableEOINARCH[[#This Row],[Structure Line]],(FIND(" ",TableEOINARCH[[#This Row],[Structure Line]],1)-1))</f>
        <v>BIA475</v>
      </c>
      <c r="D28" t="str">
        <f>MID(TableEOINARCH[[#This Row],[Structure Line]],FIND(" ",TableEOINARCH[[#This Row],[Structure Line]])+1,256)</f>
        <v>Interior Architecture Honours Project</v>
      </c>
      <c r="E28" s="59">
        <f>TableEOINARCH[[#This Row],[Credit Points]]</f>
        <v>50</v>
      </c>
      <c r="F28">
        <v>26</v>
      </c>
      <c r="G28" t="s">
        <v>329</v>
      </c>
      <c r="H28">
        <v>4</v>
      </c>
      <c r="I28" t="s">
        <v>330</v>
      </c>
      <c r="J28" t="s">
        <v>150</v>
      </c>
      <c r="K28" s="72">
        <v>1</v>
      </c>
      <c r="L28" s="72" t="s">
        <v>356</v>
      </c>
      <c r="M28" s="72">
        <v>50</v>
      </c>
      <c r="N28" s="168">
        <v>45292</v>
      </c>
      <c r="O28" s="168"/>
    </row>
    <row r="29" spans="1:15" x14ac:dyDescent="0.25">
      <c r="A29" t="str">
        <f>TableEOINARCH[[#This Row],[Study Package Code]]</f>
        <v>Specialisation</v>
      </c>
      <c r="B29" s="2">
        <f>TableEOINARCH[[#This Row],[Ver]]</f>
        <v>0</v>
      </c>
      <c r="D29" t="str">
        <f>TableEOINARCH[[#This Row],[Structure Line]]</f>
        <v>Choose a Specialisation</v>
      </c>
      <c r="E29" s="59">
        <f>TableEOINARCH[[#This Row],[Credit Points]]</f>
        <v>100</v>
      </c>
      <c r="F29">
        <v>27</v>
      </c>
      <c r="G29" t="s">
        <v>357</v>
      </c>
      <c r="H29">
        <v>0</v>
      </c>
      <c r="I29" t="s">
        <v>330</v>
      </c>
      <c r="J29" t="s">
        <v>305</v>
      </c>
      <c r="K29" s="72">
        <v>0</v>
      </c>
      <c r="L29" s="72" t="s">
        <v>306</v>
      </c>
      <c r="M29" s="72">
        <v>100</v>
      </c>
      <c r="N29" s="168"/>
      <c r="O29" s="168"/>
    </row>
    <row r="30" spans="1:15" x14ac:dyDescent="0.25">
      <c r="A30" t="str">
        <f>TableEOINARCH[[#This Row],[Study Package Code]]</f>
        <v>OSCU-ANGAD</v>
      </c>
      <c r="B30" s="2">
        <f>TableEOINARCH[[#This Row],[Ver]]</f>
        <v>1</v>
      </c>
      <c r="D30" t="str">
        <f>TableEOINARCH[[#This Row],[Structure Line]]</f>
        <v>Animation and Game Architecture Design Specialisation (OpenUnis)</v>
      </c>
      <c r="E30" s="59">
        <f>TableEOINARCH[[#This Row],[Credit Points]]</f>
        <v>100</v>
      </c>
      <c r="F30">
        <v>27</v>
      </c>
      <c r="G30" t="s">
        <v>357</v>
      </c>
      <c r="H30">
        <v>0</v>
      </c>
      <c r="I30" t="s">
        <v>330</v>
      </c>
      <c r="J30" t="s">
        <v>117</v>
      </c>
      <c r="K30" s="72">
        <v>1</v>
      </c>
      <c r="L30" s="72" t="s">
        <v>14</v>
      </c>
      <c r="M30" s="72">
        <v>100</v>
      </c>
      <c r="N30" s="168">
        <v>44562</v>
      </c>
      <c r="O30" s="168"/>
    </row>
    <row r="31" spans="1:15" x14ac:dyDescent="0.25">
      <c r="A31" t="str">
        <f>TableEOINARCH[[#This Row],[Study Package Code]]</f>
        <v>OSCU-CONMS</v>
      </c>
      <c r="B31" s="2">
        <f>TableEOINARCH[[#This Row],[Ver]]</f>
        <v>1</v>
      </c>
      <c r="D31" t="str">
        <f>TableEOINARCH[[#This Row],[Structure Line]]</f>
        <v>Construction Management Specialisation (OpenUnis)</v>
      </c>
      <c r="E31" s="59">
        <f>TableEOINARCH[[#This Row],[Credit Points]]</f>
        <v>100</v>
      </c>
      <c r="F31">
        <v>27</v>
      </c>
      <c r="G31" t="s">
        <v>357</v>
      </c>
      <c r="H31">
        <v>0</v>
      </c>
      <c r="I31" t="s">
        <v>330</v>
      </c>
      <c r="J31" t="s">
        <v>124</v>
      </c>
      <c r="K31" s="72">
        <v>1</v>
      </c>
      <c r="L31" s="72" t="s">
        <v>123</v>
      </c>
      <c r="M31" s="72">
        <v>100</v>
      </c>
      <c r="N31" s="168">
        <v>44378</v>
      </c>
      <c r="O31" s="168"/>
    </row>
    <row r="32" spans="1:15" x14ac:dyDescent="0.25">
      <c r="A32" t="str">
        <f>TableEOINARCH[[#This Row],[Study Package Code]]</f>
        <v>OSCU-DIGDE</v>
      </c>
      <c r="B32" s="2">
        <f>TableEOINARCH[[#This Row],[Ver]]</f>
        <v>1</v>
      </c>
      <c r="D32" t="str">
        <f>TableEOINARCH[[#This Row],[Structure Line]]</f>
        <v>Digital Design Specialisation (OpenUnis)</v>
      </c>
      <c r="E32" s="59">
        <f>TableEOINARCH[[#This Row],[Credit Points]]</f>
        <v>100</v>
      </c>
      <c r="F32">
        <v>27</v>
      </c>
      <c r="G32" t="s">
        <v>357</v>
      </c>
      <c r="H32">
        <v>0</v>
      </c>
      <c r="I32" t="s">
        <v>330</v>
      </c>
      <c r="J32" t="s">
        <v>127</v>
      </c>
      <c r="K32" s="72">
        <v>1</v>
      </c>
      <c r="L32" s="72" t="s">
        <v>126</v>
      </c>
      <c r="M32" s="72">
        <v>100</v>
      </c>
      <c r="N32" s="168">
        <v>45292</v>
      </c>
      <c r="O32" s="168"/>
    </row>
    <row r="33" spans="1:18" x14ac:dyDescent="0.25">
      <c r="A33" t="str">
        <f>TableEOINARCH[[#This Row],[Study Package Code]]</f>
        <v>OSCU-PLGEO</v>
      </c>
      <c r="B33" s="2">
        <f>TableEOINARCH[[#This Row],[Ver]]</f>
        <v>1</v>
      </c>
      <c r="D33" t="str">
        <f>TableEOINARCH[[#This Row],[Structure Line]]</f>
        <v>Planning and Geography Specialisation (OpenUnis)</v>
      </c>
      <c r="E33" s="59">
        <f>TableEOINARCH[[#This Row],[Credit Points]]</f>
        <v>100</v>
      </c>
      <c r="F33">
        <v>27</v>
      </c>
      <c r="G33" t="s">
        <v>357</v>
      </c>
      <c r="H33">
        <v>0</v>
      </c>
      <c r="I33" t="s">
        <v>330</v>
      </c>
      <c r="J33" t="s">
        <v>130</v>
      </c>
      <c r="K33" s="72">
        <v>1</v>
      </c>
      <c r="L33" s="72" t="s">
        <v>129</v>
      </c>
      <c r="M33" s="72">
        <v>100</v>
      </c>
      <c r="N33" s="168">
        <v>44743</v>
      </c>
      <c r="O33" s="168"/>
    </row>
    <row r="34" spans="1:18" x14ac:dyDescent="0.25">
      <c r="A34" t="str">
        <f>TableEOINARCH[[#This Row],[Study Package Code]]</f>
        <v>OSEU-ARCHT</v>
      </c>
      <c r="B34" s="2">
        <f>TableEOINARCH[[#This Row],[Ver]]</f>
        <v>1</v>
      </c>
      <c r="D34" t="str">
        <f>TableEOINARCH[[#This Row],[Structure Line]]</f>
        <v>Architectural Technology Specialisation (OpenUnis)</v>
      </c>
      <c r="E34" s="59">
        <f>TableEOINARCH[[#This Row],[Credit Points]]</f>
        <v>100</v>
      </c>
      <c r="F34">
        <v>27</v>
      </c>
      <c r="G34" t="s">
        <v>357</v>
      </c>
      <c r="H34">
        <v>0</v>
      </c>
      <c r="I34" t="s">
        <v>330</v>
      </c>
      <c r="J34" t="s">
        <v>121</v>
      </c>
      <c r="K34" s="72">
        <v>1</v>
      </c>
      <c r="L34" s="72" t="s">
        <v>120</v>
      </c>
      <c r="M34" s="72">
        <v>100</v>
      </c>
      <c r="N34" s="168">
        <v>45292</v>
      </c>
      <c r="O34" s="168"/>
    </row>
    <row r="35" spans="1:18" x14ac:dyDescent="0.25">
      <c r="B35"/>
      <c r="E35"/>
      <c r="F35" s="55"/>
      <c r="G35" s="56" t="s">
        <v>316</v>
      </c>
      <c r="H35" s="57">
        <v>45292</v>
      </c>
      <c r="I35" s="160"/>
      <c r="J35" s="161" t="s">
        <v>86</v>
      </c>
      <c r="K35" s="58" t="s">
        <v>82</v>
      </c>
      <c r="L35" s="160" t="s">
        <v>11</v>
      </c>
      <c r="M35" s="160"/>
      <c r="N35" s="162" t="s">
        <v>317</v>
      </c>
      <c r="O35" s="163">
        <v>45320</v>
      </c>
    </row>
    <row r="36" spans="1:18" x14ac:dyDescent="0.25">
      <c r="A36" t="s">
        <v>0</v>
      </c>
      <c r="B36" s="2" t="s">
        <v>318</v>
      </c>
      <c r="C36" t="s">
        <v>21</v>
      </c>
      <c r="D36" t="s">
        <v>3</v>
      </c>
      <c r="E36" s="59" t="s">
        <v>319</v>
      </c>
      <c r="F36" t="s">
        <v>320</v>
      </c>
      <c r="G36" t="s">
        <v>321</v>
      </c>
      <c r="H36" t="s">
        <v>322</v>
      </c>
      <c r="I36" t="s">
        <v>22</v>
      </c>
      <c r="J36" t="s">
        <v>323</v>
      </c>
      <c r="K36" t="s">
        <v>1</v>
      </c>
      <c r="L36" t="s">
        <v>324</v>
      </c>
      <c r="M36" t="s">
        <v>77</v>
      </c>
      <c r="N36" t="s">
        <v>325</v>
      </c>
      <c r="O36" t="s">
        <v>326</v>
      </c>
      <c r="Q36" t="s">
        <v>327</v>
      </c>
      <c r="R36" t="s">
        <v>328</v>
      </c>
    </row>
    <row r="37" spans="1:18" x14ac:dyDescent="0.25">
      <c r="A37" t="str">
        <f>TableEOINARCH1[[#This Row],[Study Package Code]]</f>
        <v>COMS1007</v>
      </c>
      <c r="B37" s="2">
        <f>TableEOINARCH1[[#This Row],[Ver]]</f>
        <v>1</v>
      </c>
      <c r="C37" t="str">
        <f>LEFT(TableEOINARCH1[[#This Row],[Structure Line]],(FIND(" ",TableEOINARCH1[[#This Row],[Structure Line]],1)-1))</f>
        <v>APC100</v>
      </c>
      <c r="D37" t="str">
        <f>MID(TableEOINARCH1[[#This Row],[Structure Line]],FIND(" ",TableEOINARCH1[[#This Row],[Structure Line]])+3,256)</f>
        <v>Academic and Professional Communications</v>
      </c>
      <c r="E37" s="59">
        <f>TableEOINARCH1[[#This Row],[Credit Points]]</f>
        <v>25</v>
      </c>
      <c r="F37">
        <v>1</v>
      </c>
      <c r="G37" t="s">
        <v>329</v>
      </c>
      <c r="H37">
        <v>1</v>
      </c>
      <c r="I37" t="s">
        <v>330</v>
      </c>
      <c r="J37" t="s">
        <v>74</v>
      </c>
      <c r="K37" s="72">
        <v>1</v>
      </c>
      <c r="L37" s="72" t="s">
        <v>331</v>
      </c>
      <c r="M37" s="72">
        <v>25</v>
      </c>
      <c r="N37" s="168">
        <v>42005</v>
      </c>
      <c r="O37" s="168"/>
    </row>
    <row r="38" spans="1:18" x14ac:dyDescent="0.25">
      <c r="A38" t="str">
        <f>TableEOINARCH1[[#This Row],[Study Package Code]]</f>
        <v>ARCH1020</v>
      </c>
      <c r="B38" s="2">
        <f>TableEOINARCH1[[#This Row],[Ver]]</f>
        <v>3</v>
      </c>
      <c r="C38" t="str">
        <f>LEFT(TableEOINARCH1[[#This Row],[Structure Line]],(FIND(" ",TableEOINARCH1[[#This Row],[Structure Line]],1)-1))</f>
        <v>BAS115</v>
      </c>
      <c r="D38" t="str">
        <f>MID(TableEOINARCH1[[#This Row],[Structure Line]],FIND(" ",TableEOINARCH1[[#This Row],[Structure Line]])+1,256)</f>
        <v>Architecture and Interior Architecture Methods 1A - Analogue Literacy</v>
      </c>
      <c r="E38" s="59">
        <f>TableEOINARCH1[[#This Row],[Credit Points]]</f>
        <v>25</v>
      </c>
      <c r="F38">
        <v>2</v>
      </c>
      <c r="G38" t="s">
        <v>329</v>
      </c>
      <c r="H38">
        <v>1</v>
      </c>
      <c r="I38" t="s">
        <v>330</v>
      </c>
      <c r="J38" t="s">
        <v>67</v>
      </c>
      <c r="K38" s="72">
        <v>3</v>
      </c>
      <c r="L38" s="72" t="s">
        <v>332</v>
      </c>
      <c r="M38" s="72">
        <v>25</v>
      </c>
      <c r="N38" s="168">
        <v>44562</v>
      </c>
      <c r="O38" s="168"/>
    </row>
    <row r="39" spans="1:18" x14ac:dyDescent="0.25">
      <c r="A39" t="str">
        <f>TableEOINARCH1[[#This Row],[Study Package Code]]</f>
        <v>ARCH1024</v>
      </c>
      <c r="B39" s="2">
        <f>TableEOINARCH1[[#This Row],[Ver]]</f>
        <v>3</v>
      </c>
      <c r="C39" t="str">
        <f>LEFT(TableEOINARCH1[[#This Row],[Structure Line]],(FIND(" ",TableEOINARCH1[[#This Row],[Structure Line]],1)-1))</f>
        <v>BAS140</v>
      </c>
      <c r="D39" t="str">
        <f>MID(TableEOINARCH1[[#This Row],[Structure Line]],FIND(" ",TableEOINARCH1[[#This Row],[Structure Line]])+1,256)</f>
        <v>Architecture and Interior Architecture Design Studio 1 - Small Structures</v>
      </c>
      <c r="E39" s="59">
        <f>TableEOINARCH1[[#This Row],[Credit Points]]</f>
        <v>25</v>
      </c>
      <c r="F39">
        <v>3</v>
      </c>
      <c r="G39" t="s">
        <v>329</v>
      </c>
      <c r="H39">
        <v>1</v>
      </c>
      <c r="I39" t="s">
        <v>330</v>
      </c>
      <c r="J39" t="s">
        <v>88</v>
      </c>
      <c r="K39" s="72">
        <v>3</v>
      </c>
      <c r="L39" s="72" t="s">
        <v>333</v>
      </c>
      <c r="M39" s="72">
        <v>25</v>
      </c>
      <c r="N39" s="168">
        <v>44562</v>
      </c>
      <c r="O39" s="168"/>
    </row>
    <row r="40" spans="1:18" x14ac:dyDescent="0.25">
      <c r="A40" t="str">
        <f>TableEOINARCH1[[#This Row],[Study Package Code]]</f>
        <v>ARCH1021</v>
      </c>
      <c r="B40" s="2">
        <f>TableEOINARCH1[[#This Row],[Ver]]</f>
        <v>3</v>
      </c>
      <c r="C40" t="str">
        <f>LEFT(TableEOINARCH1[[#This Row],[Structure Line]],(FIND(" ",TableEOINARCH1[[#This Row],[Structure Line]],1)-1))</f>
        <v>BAS145</v>
      </c>
      <c r="D40" t="str">
        <f>MID(TableEOINARCH1[[#This Row],[Structure Line]],FIND(" ",TableEOINARCH1[[#This Row],[Structure Line]])+1,256)</f>
        <v>Architecture and Interior Architecture Methods 1B - Digital Literacy</v>
      </c>
      <c r="E40" s="59">
        <f>TableEOINARCH1[[#This Row],[Credit Points]]</f>
        <v>25</v>
      </c>
      <c r="F40" s="72">
        <v>4</v>
      </c>
      <c r="G40" s="72" t="s">
        <v>329</v>
      </c>
      <c r="H40" s="72">
        <v>1</v>
      </c>
      <c r="I40" s="72" t="s">
        <v>330</v>
      </c>
      <c r="J40" s="72" t="s">
        <v>71</v>
      </c>
      <c r="K40" s="72">
        <v>3</v>
      </c>
      <c r="L40" s="72" t="s">
        <v>334</v>
      </c>
      <c r="M40" s="72">
        <v>25</v>
      </c>
      <c r="N40" s="168">
        <v>44562</v>
      </c>
      <c r="O40" s="168"/>
    </row>
    <row r="41" spans="1:18" x14ac:dyDescent="0.25">
      <c r="A41" t="str">
        <f>TableEOINARCH1[[#This Row],[Study Package Code]]</f>
        <v>INAR1011</v>
      </c>
      <c r="B41" s="2">
        <f>TableEOINARCH1[[#This Row],[Ver]]</f>
        <v>4</v>
      </c>
      <c r="C41" t="str">
        <f>LEFT(TableEOINARCH1[[#This Row],[Structure Line]],(FIND(" ",TableEOINARCH1[[#This Row],[Structure Line]],1)-1))</f>
        <v>BIA140</v>
      </c>
      <c r="D41" t="str">
        <f>MID(TableEOINARCH1[[#This Row],[Structure Line]],FIND(" ",TableEOINARCH1[[#This Row],[Structure Line]])+1,256)</f>
        <v>Interior Architecture Studio - Foundation</v>
      </c>
      <c r="E41" s="59">
        <f>TableEOINARCH1[[#This Row],[Credit Points]]</f>
        <v>25</v>
      </c>
      <c r="F41">
        <v>5</v>
      </c>
      <c r="G41" t="s">
        <v>329</v>
      </c>
      <c r="H41">
        <v>1</v>
      </c>
      <c r="I41" t="s">
        <v>330</v>
      </c>
      <c r="J41" t="s">
        <v>73</v>
      </c>
      <c r="K41" s="72">
        <v>4</v>
      </c>
      <c r="L41" s="72" t="s">
        <v>335</v>
      </c>
      <c r="M41" s="72">
        <v>25</v>
      </c>
      <c r="N41" s="168">
        <v>45292</v>
      </c>
      <c r="O41" s="168"/>
    </row>
    <row r="42" spans="1:18" x14ac:dyDescent="0.25">
      <c r="A42" t="str">
        <f>TableEOINARCH1[[#This Row],[Study Package Code]]</f>
        <v>INAR1015</v>
      </c>
      <c r="B42" s="2">
        <f>TableEOINARCH1[[#This Row],[Ver]]</f>
        <v>1</v>
      </c>
      <c r="C42" t="str">
        <f>LEFT(TableEOINARCH1[[#This Row],[Structure Line]],(FIND(" ",TableEOINARCH1[[#This Row],[Structure Line]],1)-1))</f>
        <v>BIA170</v>
      </c>
      <c r="D42" t="str">
        <f>MID(TableEOINARCH1[[#This Row],[Structure Line]],FIND(" ",TableEOINARCH1[[#This Row],[Structure Line]])+1,256)</f>
        <v>History of the Interior</v>
      </c>
      <c r="E42" s="59">
        <f>TableEOINARCH1[[#This Row],[Credit Points]]</f>
        <v>25</v>
      </c>
      <c r="F42" s="72">
        <v>6</v>
      </c>
      <c r="G42" s="72" t="s">
        <v>329</v>
      </c>
      <c r="H42" s="72">
        <v>1</v>
      </c>
      <c r="I42" s="72" t="s">
        <v>330</v>
      </c>
      <c r="J42" s="72" t="s">
        <v>87</v>
      </c>
      <c r="K42" s="72">
        <v>1</v>
      </c>
      <c r="L42" s="72" t="s">
        <v>336</v>
      </c>
      <c r="M42" s="72">
        <v>25</v>
      </c>
      <c r="N42" s="168">
        <v>43101</v>
      </c>
      <c r="O42" s="168"/>
    </row>
    <row r="43" spans="1:18" x14ac:dyDescent="0.25">
      <c r="A43" t="str">
        <f>TableEOINARCH1[[#This Row],[Study Package Code]]</f>
        <v>ARCH2029</v>
      </c>
      <c r="B43" s="2">
        <f>TableEOINARCH1[[#This Row],[Ver]]</f>
        <v>3</v>
      </c>
      <c r="C43" t="str">
        <f>LEFT(TableEOINARCH1[[#This Row],[Structure Line]],(FIND(" ",TableEOINARCH1[[#This Row],[Structure Line]],1)-1))</f>
        <v>BAS200</v>
      </c>
      <c r="D43" t="str">
        <f>MID(TableEOINARCH1[[#This Row],[Structure Line]],FIND(" ",TableEOINARCH1[[#This Row],[Structure Line]])+1,256)</f>
        <v>Architecture and Interior Architecture Design Studio 2A - Residential Typology and Grammar</v>
      </c>
      <c r="E43" s="59">
        <f>TableEOINARCH1[[#This Row],[Credit Points]]</f>
        <v>25</v>
      </c>
      <c r="F43">
        <v>7</v>
      </c>
      <c r="G43" t="s">
        <v>329</v>
      </c>
      <c r="H43">
        <v>2</v>
      </c>
      <c r="I43" t="s">
        <v>330</v>
      </c>
      <c r="J43" t="s">
        <v>105</v>
      </c>
      <c r="K43" s="72">
        <v>3</v>
      </c>
      <c r="L43" s="72" t="s">
        <v>337</v>
      </c>
      <c r="M43" s="72">
        <v>25</v>
      </c>
      <c r="N43" s="168">
        <v>44562</v>
      </c>
      <c r="O43" s="168"/>
    </row>
    <row r="44" spans="1:18" x14ac:dyDescent="0.25">
      <c r="A44" t="str">
        <f>TableEOINARCH1[[#This Row],[Study Package Code]]</f>
        <v>ARCH2027</v>
      </c>
      <c r="B44" s="2">
        <f>TableEOINARCH1[[#This Row],[Ver]]</f>
        <v>3</v>
      </c>
      <c r="C44" t="str">
        <f>LEFT(TableEOINARCH1[[#This Row],[Structure Line]],(FIND(" ",TableEOINARCH1[[#This Row],[Structure Line]],1)-1))</f>
        <v>BAS235</v>
      </c>
      <c r="D44" t="str">
        <f>MID(TableEOINARCH1[[#This Row],[Structure Line]],FIND(" ",TableEOINARCH1[[#This Row],[Structure Line]])+1,256)</f>
        <v>Architecture Methods 2B - Information Visualisation</v>
      </c>
      <c r="E44" s="59">
        <f>TableEOINARCH1[[#This Row],[Credit Points]]</f>
        <v>25</v>
      </c>
      <c r="F44">
        <v>8</v>
      </c>
      <c r="G44" t="s">
        <v>329</v>
      </c>
      <c r="H44">
        <v>2</v>
      </c>
      <c r="I44" t="s">
        <v>330</v>
      </c>
      <c r="J44" t="s">
        <v>107</v>
      </c>
      <c r="K44" s="72">
        <v>3</v>
      </c>
      <c r="L44" s="72" t="s">
        <v>338</v>
      </c>
      <c r="M44" s="72">
        <v>25</v>
      </c>
      <c r="N44" s="168">
        <v>44562</v>
      </c>
      <c r="O44" s="168"/>
    </row>
    <row r="45" spans="1:18" x14ac:dyDescent="0.25">
      <c r="A45" t="str">
        <f>TableEOINARCH1[[#This Row],[Study Package Code]]</f>
        <v>INAR2020</v>
      </c>
      <c r="B45" s="2">
        <f>TableEOINARCH1[[#This Row],[Ver]]</f>
        <v>2</v>
      </c>
      <c r="C45" t="str">
        <f>LEFT(TableEOINARCH1[[#This Row],[Structure Line]],(FIND(" ",TableEOINARCH1[[#This Row],[Structure Line]],1)-1))</f>
        <v>BIA200</v>
      </c>
      <c r="D45" t="str">
        <f>MID(TableEOINARCH1[[#This Row],[Structure Line]],FIND(" ",TableEOINARCH1[[#This Row],[Structure Line]])+1,256)</f>
        <v>Interior Architecture Fundamentals</v>
      </c>
      <c r="E45" s="59">
        <f>TableEOINARCH1[[#This Row],[Credit Points]]</f>
        <v>25</v>
      </c>
      <c r="F45">
        <v>9</v>
      </c>
      <c r="G45" t="s">
        <v>329</v>
      </c>
      <c r="H45">
        <v>2</v>
      </c>
      <c r="I45" t="s">
        <v>330</v>
      </c>
      <c r="J45" t="s">
        <v>92</v>
      </c>
      <c r="K45" s="72">
        <v>2</v>
      </c>
      <c r="L45" s="72" t="s">
        <v>339</v>
      </c>
      <c r="M45" s="72">
        <v>25</v>
      </c>
      <c r="N45" s="168">
        <v>45292</v>
      </c>
      <c r="O45" s="168"/>
    </row>
    <row r="46" spans="1:18" x14ac:dyDescent="0.25">
      <c r="A46" t="str">
        <f>TableEOINARCH1[[#This Row],[Study Package Code]]</f>
        <v>INAR2015</v>
      </c>
      <c r="B46" s="2">
        <f>TableEOINARCH1[[#This Row],[Ver]]</f>
        <v>4</v>
      </c>
      <c r="C46" t="str">
        <f>LEFT(TableEOINARCH1[[#This Row],[Structure Line]],(FIND(" ",TableEOINARCH1[[#This Row],[Structure Line]],1)-1))</f>
        <v>BIA250</v>
      </c>
      <c r="D46" t="str">
        <f>MID(TableEOINARCH1[[#This Row],[Structure Line]],FIND(" ",TableEOINARCH1[[#This Row],[Structure Line]])+1,256)</f>
        <v>Interior Architecture Studio – Community</v>
      </c>
      <c r="E46" s="59">
        <f>TableEOINARCH1[[#This Row],[Credit Points]]</f>
        <v>25</v>
      </c>
      <c r="F46">
        <v>10</v>
      </c>
      <c r="G46" t="s">
        <v>329</v>
      </c>
      <c r="H46">
        <v>2</v>
      </c>
      <c r="I46" t="s">
        <v>330</v>
      </c>
      <c r="J46" t="s">
        <v>100</v>
      </c>
      <c r="K46" s="72">
        <v>4</v>
      </c>
      <c r="L46" s="72" t="s">
        <v>340</v>
      </c>
      <c r="M46" s="72">
        <v>25</v>
      </c>
      <c r="N46" s="168">
        <v>45292</v>
      </c>
      <c r="O46" s="168"/>
    </row>
    <row r="47" spans="1:18" x14ac:dyDescent="0.25">
      <c r="A47" t="str">
        <f>TableEOINARCH1[[#This Row],[Study Package Code]]</f>
        <v>INAR2023</v>
      </c>
      <c r="B47" s="2">
        <f>TableEOINARCH1[[#This Row],[Ver]]</f>
        <v>1</v>
      </c>
      <c r="C47" t="str">
        <f>LEFT(TableEOINARCH1[[#This Row],[Structure Line]],(FIND(" ",TableEOINARCH1[[#This Row],[Structure Line]],1)-1))</f>
        <v>BIA280</v>
      </c>
      <c r="D47" t="str">
        <f>MID(TableEOINARCH1[[#This Row],[Structure Line]],FIND(" ",TableEOINARCH1[[#This Row],[Structure Line]])+1,256)</f>
        <v>Philosophy and Practice</v>
      </c>
      <c r="E47" s="59">
        <f>TableEOINARCH1[[#This Row],[Credit Points]]</f>
        <v>25</v>
      </c>
      <c r="F47">
        <v>11</v>
      </c>
      <c r="G47" t="s">
        <v>329</v>
      </c>
      <c r="H47">
        <v>2</v>
      </c>
      <c r="I47" t="s">
        <v>330</v>
      </c>
      <c r="J47" t="s">
        <v>93</v>
      </c>
      <c r="K47" s="72">
        <v>1</v>
      </c>
      <c r="L47" s="72" t="s">
        <v>341</v>
      </c>
      <c r="M47" s="72">
        <v>25</v>
      </c>
      <c r="N47" s="168">
        <v>44562</v>
      </c>
      <c r="O47" s="168"/>
    </row>
    <row r="48" spans="1:18" x14ac:dyDescent="0.25">
      <c r="A48" t="str">
        <f>TableEOINARCH1[[#This Row],[Study Package Code]]</f>
        <v>GRDE2045</v>
      </c>
      <c r="B48" s="2">
        <f>TableEOINARCH1[[#This Row],[Ver]]</f>
        <v>1</v>
      </c>
      <c r="C48" t="str">
        <f>LEFT(TableEOINARCH1[[#This Row],[Structure Line]],(FIND(" ",TableEOINARCH1[[#This Row],[Structure Line]],1)-1))</f>
        <v>DSN200</v>
      </c>
      <c r="D48" t="str">
        <f>MID(TableEOINARCH1[[#This Row],[Structure Line]],FIND(" ",TableEOINARCH1[[#This Row],[Structure Line]])+1,256)</f>
        <v>3D Modelling and Digital Fabrication</v>
      </c>
      <c r="E48" s="59">
        <f>TableEOINARCH1[[#This Row],[Credit Points]]</f>
        <v>25</v>
      </c>
      <c r="F48" s="72">
        <v>12</v>
      </c>
      <c r="G48" s="72" t="s">
        <v>329</v>
      </c>
      <c r="H48" s="72">
        <v>2</v>
      </c>
      <c r="I48" s="72" t="s">
        <v>330</v>
      </c>
      <c r="J48" s="72" t="s">
        <v>109</v>
      </c>
      <c r="K48" s="72">
        <v>1</v>
      </c>
      <c r="L48" s="72" t="s">
        <v>342</v>
      </c>
      <c r="M48" s="72">
        <v>25</v>
      </c>
      <c r="N48" s="168">
        <v>45292</v>
      </c>
      <c r="O48" s="168"/>
    </row>
    <row r="49" spans="1:15" x14ac:dyDescent="0.25">
      <c r="A49" t="str">
        <f>TableEOINARCH1[[#This Row],[Study Package Code]]</f>
        <v>ARCH3015</v>
      </c>
      <c r="B49" s="2">
        <f>TableEOINARCH1[[#This Row],[Ver]]</f>
        <v>4</v>
      </c>
      <c r="C49" t="str">
        <f>LEFT(TableEOINARCH1[[#This Row],[Structure Line]],(FIND(" ",TableEOINARCH1[[#This Row],[Structure Line]],1)-1))</f>
        <v>BAS310</v>
      </c>
      <c r="D49" t="str">
        <f>MID(TableEOINARCH1[[#This Row],[Structure Line]],FIND(" ",TableEOINARCH1[[#This Row],[Structure Line]])+1,256)</f>
        <v>Environmental and Building Systems in Architecture</v>
      </c>
      <c r="E49" s="59">
        <f>TableEOINARCH1[[#This Row],[Credit Points]]</f>
        <v>25</v>
      </c>
      <c r="F49">
        <v>13</v>
      </c>
      <c r="G49" t="s">
        <v>329</v>
      </c>
      <c r="H49">
        <v>3</v>
      </c>
      <c r="I49" t="s">
        <v>330</v>
      </c>
      <c r="J49" t="s">
        <v>122</v>
      </c>
      <c r="K49" s="72">
        <v>4</v>
      </c>
      <c r="L49" s="72" t="s">
        <v>343</v>
      </c>
      <c r="M49" s="72">
        <v>25</v>
      </c>
      <c r="N49" s="168">
        <v>44562</v>
      </c>
      <c r="O49" s="168"/>
    </row>
    <row r="50" spans="1:15" x14ac:dyDescent="0.25">
      <c r="A50" t="str">
        <f>TableEOINARCH1[[#This Row],[Study Package Code]]</f>
        <v>INAR2025</v>
      </c>
      <c r="B50" s="2">
        <f>TableEOINARCH1[[#This Row],[Ver]]</f>
        <v>1</v>
      </c>
      <c r="C50" t="str">
        <f>LEFT(TableEOINARCH1[[#This Row],[Structure Line]],(FIND(" ",TableEOINARCH1[[#This Row],[Structure Line]],1)-1))</f>
        <v>BIA290</v>
      </c>
      <c r="D50" t="str">
        <f>MID(TableEOINARCH1[[#This Row],[Structure Line]],FIND(" ",TableEOINARCH1[[#This Row],[Structure Line]])+1,256)</f>
        <v>Design Fabrication</v>
      </c>
      <c r="E50" s="59">
        <f>TableEOINARCH1[[#This Row],[Credit Points]]</f>
        <v>25</v>
      </c>
      <c r="F50">
        <v>14</v>
      </c>
      <c r="G50" t="s">
        <v>329</v>
      </c>
      <c r="H50">
        <v>3</v>
      </c>
      <c r="I50" t="s">
        <v>330</v>
      </c>
      <c r="J50" t="s">
        <v>119</v>
      </c>
      <c r="K50" s="72">
        <v>1</v>
      </c>
      <c r="L50" s="72" t="s">
        <v>344</v>
      </c>
      <c r="M50" s="72">
        <v>25</v>
      </c>
      <c r="N50" s="168">
        <v>45292</v>
      </c>
      <c r="O50" s="168"/>
    </row>
    <row r="51" spans="1:15" x14ac:dyDescent="0.25">
      <c r="A51" t="str">
        <f>TableEOINARCH1[[#This Row],[Study Package Code]]</f>
        <v>INAR3012</v>
      </c>
      <c r="B51" s="2">
        <f>TableEOINARCH1[[#This Row],[Ver]]</f>
        <v>4</v>
      </c>
      <c r="C51" t="str">
        <f>LEFT(TableEOINARCH1[[#This Row],[Structure Line]],(FIND(" ",TableEOINARCH1[[#This Row],[Structure Line]],1)-1))</f>
        <v>BIA300</v>
      </c>
      <c r="D51" t="str">
        <f>MID(TableEOINARCH1[[#This Row],[Structure Line]],FIND(" ",TableEOINARCH1[[#This Row],[Structure Line]])+1,256)</f>
        <v>Interior Architecture Studio - Well-being</v>
      </c>
      <c r="E51" s="59">
        <f>TableEOINARCH1[[#This Row],[Credit Points]]</f>
        <v>25</v>
      </c>
      <c r="F51">
        <v>15</v>
      </c>
      <c r="G51" t="s">
        <v>329</v>
      </c>
      <c r="H51">
        <v>3</v>
      </c>
      <c r="I51" t="s">
        <v>330</v>
      </c>
      <c r="J51" t="s">
        <v>128</v>
      </c>
      <c r="K51" s="72">
        <v>4</v>
      </c>
      <c r="L51" s="72" t="s">
        <v>345</v>
      </c>
      <c r="M51" s="72">
        <v>25</v>
      </c>
      <c r="N51" s="168">
        <v>45383</v>
      </c>
      <c r="O51" s="168"/>
    </row>
    <row r="52" spans="1:15" x14ac:dyDescent="0.25">
      <c r="A52" t="str">
        <f>TableEOINARCH1[[#This Row],[Study Package Code]]</f>
        <v>INAR3023</v>
      </c>
      <c r="B52" s="2">
        <f>TableEOINARCH1[[#This Row],[Ver]]</f>
        <v>1</v>
      </c>
      <c r="C52" t="str">
        <f>LEFT(TableEOINARCH1[[#This Row],[Structure Line]],(FIND(" ",TableEOINARCH1[[#This Row],[Structure Line]],1)-1))</f>
        <v>BIA305</v>
      </c>
      <c r="D52" t="str">
        <f>MID(TableEOINARCH1[[#This Row],[Structure Line]],FIND(" ",TableEOINARCH1[[#This Row],[Structure Line]])+1,256)</f>
        <v>Interior Architecture Practice 1</v>
      </c>
      <c r="E52" s="59">
        <f>TableEOINARCH1[[#This Row],[Credit Points]]</f>
        <v>25</v>
      </c>
      <c r="F52" s="72">
        <v>16</v>
      </c>
      <c r="G52" s="72" t="s">
        <v>329</v>
      </c>
      <c r="H52" s="72">
        <v>3</v>
      </c>
      <c r="I52" s="72" t="s">
        <v>330</v>
      </c>
      <c r="J52" s="72" t="s">
        <v>132</v>
      </c>
      <c r="K52" s="72">
        <v>1</v>
      </c>
      <c r="L52" s="72" t="s">
        <v>346</v>
      </c>
      <c r="M52" s="72">
        <v>25</v>
      </c>
      <c r="N52" s="168">
        <v>45292</v>
      </c>
      <c r="O52" s="168"/>
    </row>
    <row r="53" spans="1:15" x14ac:dyDescent="0.25">
      <c r="A53" t="str">
        <f>TableEOINARCH1[[#This Row],[Study Package Code]]</f>
        <v>INAR3025</v>
      </c>
      <c r="B53" s="2">
        <f>TableEOINARCH1[[#This Row],[Ver]]</f>
        <v>1</v>
      </c>
      <c r="C53" t="str">
        <f>LEFT(TableEOINARCH1[[#This Row],[Structure Line]],(FIND(" ",TableEOINARCH1[[#This Row],[Structure Line]],1)-1))</f>
        <v>BIA315</v>
      </c>
      <c r="D53" t="str">
        <f>MID(TableEOINARCH1[[#This Row],[Structure Line]],FIND(" ",TableEOINARCH1[[#This Row],[Structure Line]])+1,256)</f>
        <v>Interior Architecture Practice 2</v>
      </c>
      <c r="E53" s="59">
        <f>TableEOINARCH1[[#This Row],[Credit Points]]</f>
        <v>25</v>
      </c>
      <c r="F53" s="72">
        <v>17</v>
      </c>
      <c r="G53" s="72" t="s">
        <v>329</v>
      </c>
      <c r="H53" s="72">
        <v>3</v>
      </c>
      <c r="I53" s="72" t="s">
        <v>330</v>
      </c>
      <c r="J53" s="72" t="s">
        <v>133</v>
      </c>
      <c r="K53" s="72">
        <v>1</v>
      </c>
      <c r="L53" s="72" t="s">
        <v>347</v>
      </c>
      <c r="M53" s="72">
        <v>25</v>
      </c>
      <c r="N53" s="168">
        <v>45292</v>
      </c>
      <c r="O53" s="168"/>
    </row>
    <row r="54" spans="1:15" x14ac:dyDescent="0.25">
      <c r="A54" t="str">
        <f>TableEOINARCH1[[#This Row],[Study Package Code]]</f>
        <v>INAR3017</v>
      </c>
      <c r="B54" s="2">
        <f>TableEOINARCH1[[#This Row],[Ver]]</f>
        <v>3</v>
      </c>
      <c r="C54" t="str">
        <f>LEFT(TableEOINARCH1[[#This Row],[Structure Line]],(FIND(" ",TableEOINARCH1[[#This Row],[Structure Line]],1)-1))</f>
        <v>BIA360</v>
      </c>
      <c r="D54" t="str">
        <f>MID(TableEOINARCH1[[#This Row],[Structure Line]],FIND(" ",TableEOINARCH1[[#This Row],[Structure Line]])+1,256)</f>
        <v>Interior Architecture Studio - Workplace</v>
      </c>
      <c r="E54" s="59">
        <f>TableEOINARCH1[[#This Row],[Credit Points]]</f>
        <v>25</v>
      </c>
      <c r="F54">
        <v>18</v>
      </c>
      <c r="G54" t="s">
        <v>329</v>
      </c>
      <c r="H54">
        <v>3</v>
      </c>
      <c r="I54" t="s">
        <v>330</v>
      </c>
      <c r="J54" t="s">
        <v>131</v>
      </c>
      <c r="K54" s="72">
        <v>3</v>
      </c>
      <c r="L54" s="72" t="s">
        <v>348</v>
      </c>
      <c r="M54" s="72">
        <v>25</v>
      </c>
      <c r="N54" s="168">
        <v>45292</v>
      </c>
      <c r="O54" s="168"/>
    </row>
    <row r="55" spans="1:15" x14ac:dyDescent="0.25">
      <c r="A55" t="str">
        <f>TableEOINARCH1[[#This Row],[Study Package Code]]</f>
        <v>INAR3021</v>
      </c>
      <c r="B55" s="2">
        <f>TableEOINARCH1[[#This Row],[Ver]]</f>
        <v>1</v>
      </c>
      <c r="C55" t="str">
        <f>LEFT(TableEOINARCH1[[#This Row],[Structure Line]],(FIND(" ",TableEOINARCH1[[#This Row],[Structure Line]],1)-1))</f>
        <v>BIA390</v>
      </c>
      <c r="D55" t="str">
        <f>MID(TableEOINARCH1[[#This Row],[Structure Line]],FIND(" ",TableEOINARCH1[[#This Row],[Structure Line]])+1,256)</f>
        <v>Furniture Design</v>
      </c>
      <c r="E55" s="59">
        <f>TableEOINARCH1[[#This Row],[Credit Points]]</f>
        <v>25</v>
      </c>
      <c r="F55">
        <v>19</v>
      </c>
      <c r="G55" t="s">
        <v>329</v>
      </c>
      <c r="H55">
        <v>3</v>
      </c>
      <c r="I55" t="s">
        <v>330</v>
      </c>
      <c r="J55" t="s">
        <v>125</v>
      </c>
      <c r="K55" s="72">
        <v>1</v>
      </c>
      <c r="L55" s="72" t="s">
        <v>349</v>
      </c>
      <c r="M55" s="72">
        <v>25</v>
      </c>
      <c r="N55" s="168">
        <v>45292</v>
      </c>
      <c r="O55" s="168"/>
    </row>
    <row r="56" spans="1:15" x14ac:dyDescent="0.25">
      <c r="A56" t="str">
        <f>TableEOINARCH1[[#This Row],[Study Package Code]]</f>
        <v>URDE3011</v>
      </c>
      <c r="B56" s="2">
        <f>TableEOINARCH1[[#This Row],[Ver]]</f>
        <v>1</v>
      </c>
      <c r="C56" t="str">
        <f>LEFT(TableEOINARCH1[[#This Row],[Structure Line]],(FIND(" ",TableEOINARCH1[[#This Row],[Structure Line]],1)-1))</f>
        <v>DBE300</v>
      </c>
      <c r="D56" t="str">
        <f>MID(TableEOINARCH1[[#This Row],[Structure Line]],FIND(" ",TableEOINARCH1[[#This Row],[Structure Line]])+1,256)</f>
        <v>Design and Built Environment Research Methods</v>
      </c>
      <c r="E56" s="59">
        <f>TableEOINARCH1[[#This Row],[Credit Points]]</f>
        <v>25</v>
      </c>
      <c r="F56">
        <v>20</v>
      </c>
      <c r="G56" t="s">
        <v>329</v>
      </c>
      <c r="H56">
        <v>3</v>
      </c>
      <c r="I56" t="s">
        <v>330</v>
      </c>
      <c r="J56" t="s">
        <v>113</v>
      </c>
      <c r="K56" s="72">
        <v>1</v>
      </c>
      <c r="L56" s="72" t="s">
        <v>350</v>
      </c>
      <c r="M56" s="72">
        <v>25</v>
      </c>
      <c r="N56" s="168">
        <v>44562</v>
      </c>
      <c r="O56" s="168"/>
    </row>
    <row r="57" spans="1:15" x14ac:dyDescent="0.25">
      <c r="A57" t="str">
        <f>TableEOINARCH1[[#This Row],[Study Package Code]]</f>
        <v>INAR4024</v>
      </c>
      <c r="B57" s="2">
        <f>TableEOINARCH1[[#This Row],[Ver]]</f>
        <v>1</v>
      </c>
      <c r="C57" t="str">
        <f>LEFT(TableEOINARCH1[[#This Row],[Structure Line]],(FIND(" ",TableEOINARCH1[[#This Row],[Structure Line]],1)-1))</f>
        <v>BIA415</v>
      </c>
      <c r="D57" t="str">
        <f>MID(TableEOINARCH1[[#This Row],[Structure Line]],FIND(" ",TableEOINARCH1[[#This Row],[Structure Line]])+1,256)</f>
        <v>Adaptive Reuse and Heritage</v>
      </c>
      <c r="E57" s="59">
        <f>TableEOINARCH1[[#This Row],[Credit Points]]</f>
        <v>25</v>
      </c>
      <c r="F57">
        <v>21</v>
      </c>
      <c r="G57" t="s">
        <v>329</v>
      </c>
      <c r="H57">
        <v>4</v>
      </c>
      <c r="I57" t="s">
        <v>330</v>
      </c>
      <c r="J57" t="s">
        <v>136</v>
      </c>
      <c r="K57" s="72">
        <v>1</v>
      </c>
      <c r="L57" s="72" t="s">
        <v>351</v>
      </c>
      <c r="M57" s="72">
        <v>25</v>
      </c>
      <c r="N57" s="168">
        <v>45292</v>
      </c>
      <c r="O57" s="168"/>
    </row>
    <row r="58" spans="1:15" x14ac:dyDescent="0.25">
      <c r="A58" t="str">
        <f>TableEOINARCH1[[#This Row],[Study Package Code]]</f>
        <v>INAR4026</v>
      </c>
      <c r="B58" s="2">
        <f>TableEOINARCH1[[#This Row],[Ver]]</f>
        <v>1</v>
      </c>
      <c r="C58" t="str">
        <f>LEFT(TableEOINARCH1[[#This Row],[Structure Line]],(FIND(" ",TableEOINARCH1[[#This Row],[Structure Line]],1)-1))</f>
        <v>BIA425</v>
      </c>
      <c r="D58" t="str">
        <f>MID(TableEOINARCH1[[#This Row],[Structure Line]],FIND(" ",TableEOINARCH1[[#This Row],[Structure Line]])+1,256)</f>
        <v>Design for Indoor Comfort</v>
      </c>
      <c r="E58" s="59">
        <f>TableEOINARCH1[[#This Row],[Credit Points]]</f>
        <v>25</v>
      </c>
      <c r="F58">
        <v>22</v>
      </c>
      <c r="G58" t="s">
        <v>329</v>
      </c>
      <c r="H58">
        <v>4</v>
      </c>
      <c r="I58" t="s">
        <v>330</v>
      </c>
      <c r="J58" t="s">
        <v>141</v>
      </c>
      <c r="K58" s="72">
        <v>1</v>
      </c>
      <c r="L58" s="72" t="s">
        <v>352</v>
      </c>
      <c r="M58" s="72">
        <v>25</v>
      </c>
      <c r="N58" s="168">
        <v>45292</v>
      </c>
      <c r="O58" s="168"/>
    </row>
    <row r="59" spans="1:15" x14ac:dyDescent="0.25">
      <c r="A59" t="str">
        <f>TableEOINARCH1[[#This Row],[Study Package Code]]</f>
        <v>INAR4028</v>
      </c>
      <c r="B59" s="2">
        <f>TableEOINARCH1[[#This Row],[Ver]]</f>
        <v>1</v>
      </c>
      <c r="C59" t="str">
        <f>LEFT(TableEOINARCH1[[#This Row],[Structure Line]],(FIND(" ",TableEOINARCH1[[#This Row],[Structure Line]],1)-1))</f>
        <v>BIA435</v>
      </c>
      <c r="D59" t="str">
        <f>MID(TableEOINARCH1[[#This Row],[Structure Line]],FIND(" ",TableEOINARCH1[[#This Row],[Structure Line]])+1,256)</f>
        <v>Interior Lighting Design</v>
      </c>
      <c r="E59" s="59">
        <f>TableEOINARCH1[[#This Row],[Credit Points]]</f>
        <v>25</v>
      </c>
      <c r="F59">
        <v>23</v>
      </c>
      <c r="G59" t="s">
        <v>329</v>
      </c>
      <c r="H59">
        <v>4</v>
      </c>
      <c r="I59" t="s">
        <v>330</v>
      </c>
      <c r="J59" t="s">
        <v>143</v>
      </c>
      <c r="K59" s="72">
        <v>1</v>
      </c>
      <c r="L59" s="72" t="s">
        <v>353</v>
      </c>
      <c r="M59" s="72">
        <v>25</v>
      </c>
      <c r="N59" s="168">
        <v>45292</v>
      </c>
      <c r="O59" s="168"/>
    </row>
    <row r="60" spans="1:15" x14ac:dyDescent="0.25">
      <c r="A60" t="str">
        <f>TableEOINARCH1[[#This Row],[Study Package Code]]</f>
        <v>INAR4030</v>
      </c>
      <c r="B60" s="2">
        <f>TableEOINARCH1[[#This Row],[Ver]]</f>
        <v>1</v>
      </c>
      <c r="C60" t="str">
        <f>LEFT(TableEOINARCH1[[#This Row],[Structure Line]],(FIND(" ",TableEOINARCH1[[#This Row],[Structure Line]],1)-1))</f>
        <v>BIA445</v>
      </c>
      <c r="D60" t="str">
        <f>MID(TableEOINARCH1[[#This Row],[Structure Line]],FIND(" ",TableEOINARCH1[[#This Row],[Structure Line]])+1,256)</f>
        <v>Sustainable Future and the Built Environment</v>
      </c>
      <c r="E60" s="59">
        <f>TableEOINARCH1[[#This Row],[Credit Points]]</f>
        <v>25</v>
      </c>
      <c r="F60">
        <v>24</v>
      </c>
      <c r="G60" t="s">
        <v>329</v>
      </c>
      <c r="H60">
        <v>4</v>
      </c>
      <c r="I60" t="s">
        <v>330</v>
      </c>
      <c r="J60" t="s">
        <v>145</v>
      </c>
      <c r="K60" s="72">
        <v>1</v>
      </c>
      <c r="L60" s="72" t="s">
        <v>354</v>
      </c>
      <c r="M60" s="72">
        <v>25</v>
      </c>
      <c r="N60" s="168">
        <v>45292</v>
      </c>
      <c r="O60" s="168"/>
    </row>
    <row r="61" spans="1:15" x14ac:dyDescent="0.25">
      <c r="A61" t="str">
        <f>TableEOINARCH1[[#This Row],[Study Package Code]]</f>
        <v>INAR4032</v>
      </c>
      <c r="B61" s="2">
        <f>TableEOINARCH1[[#This Row],[Ver]]</f>
        <v>1</v>
      </c>
      <c r="C61" t="str">
        <f>LEFT(TableEOINARCH1[[#This Row],[Structure Line]],(FIND(" ",TableEOINARCH1[[#This Row],[Structure Line]],1)-1))</f>
        <v>BIA455</v>
      </c>
      <c r="D61" t="str">
        <f>MID(TableEOINARCH1[[#This Row],[Structure Line]],FIND(" ",TableEOINARCH1[[#This Row],[Structure Line]])+1,256)</f>
        <v>Interior Architecture Honours Proposal</v>
      </c>
      <c r="E61" s="59">
        <f>TableEOINARCH1[[#This Row],[Credit Points]]</f>
        <v>50</v>
      </c>
      <c r="F61">
        <v>25</v>
      </c>
      <c r="G61" t="s">
        <v>329</v>
      </c>
      <c r="H61">
        <v>4</v>
      </c>
      <c r="I61" t="s">
        <v>330</v>
      </c>
      <c r="J61" t="s">
        <v>147</v>
      </c>
      <c r="K61" s="72">
        <v>1</v>
      </c>
      <c r="L61" s="72" t="s">
        <v>355</v>
      </c>
      <c r="M61" s="72">
        <v>50</v>
      </c>
      <c r="N61" s="168">
        <v>45292</v>
      </c>
      <c r="O61" s="168"/>
    </row>
    <row r="62" spans="1:15" x14ac:dyDescent="0.25">
      <c r="A62" t="str">
        <f>TableEOINARCH1[[#This Row],[Study Package Code]]</f>
        <v>INAR4034</v>
      </c>
      <c r="B62" s="2">
        <f>TableEOINARCH1[[#This Row],[Ver]]</f>
        <v>1</v>
      </c>
      <c r="C62" t="str">
        <f>LEFT(TableEOINARCH1[[#This Row],[Structure Line]],(FIND(" ",TableEOINARCH1[[#This Row],[Structure Line]],1)-1))</f>
        <v>BIA475</v>
      </c>
      <c r="D62" t="str">
        <f>MID(TableEOINARCH1[[#This Row],[Structure Line]],FIND(" ",TableEOINARCH1[[#This Row],[Structure Line]])+1,256)</f>
        <v>Interior Architecture Honours Project</v>
      </c>
      <c r="E62" s="59">
        <f>TableEOINARCH1[[#This Row],[Credit Points]]</f>
        <v>50</v>
      </c>
      <c r="F62">
        <v>26</v>
      </c>
      <c r="G62" t="s">
        <v>329</v>
      </c>
      <c r="H62">
        <v>4</v>
      </c>
      <c r="I62" t="s">
        <v>330</v>
      </c>
      <c r="J62" t="s">
        <v>150</v>
      </c>
      <c r="K62" s="72">
        <v>1</v>
      </c>
      <c r="L62" s="72" t="s">
        <v>356</v>
      </c>
      <c r="M62" s="72">
        <v>50</v>
      </c>
      <c r="N62" s="168">
        <v>45292</v>
      </c>
      <c r="O62" s="168"/>
    </row>
    <row r="63" spans="1:15" x14ac:dyDescent="0.25">
      <c r="A63" t="str">
        <f>TableEOINARCH1[[#This Row],[Study Package Code]]</f>
        <v>Specialisation</v>
      </c>
      <c r="B63" s="2">
        <f>TableEOINARCH1[[#This Row],[Ver]]</f>
        <v>0</v>
      </c>
      <c r="D63" t="str">
        <f>TableEOINARCH1[[#This Row],[Structure Line]]</f>
        <v>Choose a Specialisation</v>
      </c>
      <c r="E63" s="59">
        <f>TableEOINARCH1[[#This Row],[Credit Points]]</f>
        <v>100</v>
      </c>
      <c r="F63">
        <v>27</v>
      </c>
      <c r="G63" t="s">
        <v>357</v>
      </c>
      <c r="H63">
        <v>0</v>
      </c>
      <c r="I63" t="s">
        <v>330</v>
      </c>
      <c r="J63" t="s">
        <v>305</v>
      </c>
      <c r="K63" s="72">
        <v>0</v>
      </c>
      <c r="L63" s="72" t="s">
        <v>306</v>
      </c>
      <c r="M63" s="72">
        <v>100</v>
      </c>
      <c r="N63" s="168"/>
      <c r="O63" s="168"/>
    </row>
    <row r="64" spans="1:15" x14ac:dyDescent="0.25">
      <c r="A64" t="str">
        <f>TableEOINARCH1[[#This Row],[Study Package Code]]</f>
        <v>OSCU-ANGAD</v>
      </c>
      <c r="B64" s="2">
        <f>TableEOINARCH1[[#This Row],[Ver]]</f>
        <v>1</v>
      </c>
      <c r="D64" t="str">
        <f>TableEOINARCH1[[#This Row],[Structure Line]]</f>
        <v>Animation and Game Architecture Design Specialisation (OpenUnis)</v>
      </c>
      <c r="E64" s="59">
        <f>TableEOINARCH1[[#This Row],[Credit Points]]</f>
        <v>100</v>
      </c>
      <c r="F64">
        <v>27</v>
      </c>
      <c r="G64" t="s">
        <v>357</v>
      </c>
      <c r="H64">
        <v>0</v>
      </c>
      <c r="I64" t="s">
        <v>330</v>
      </c>
      <c r="J64" t="s">
        <v>117</v>
      </c>
      <c r="K64" s="72">
        <v>1</v>
      </c>
      <c r="L64" s="72" t="s">
        <v>14</v>
      </c>
      <c r="M64" s="72">
        <v>100</v>
      </c>
      <c r="N64" s="168">
        <v>44562</v>
      </c>
      <c r="O64" s="168"/>
    </row>
    <row r="65" spans="1:18" x14ac:dyDescent="0.25">
      <c r="A65" t="str">
        <f>TableEOINARCH1[[#This Row],[Study Package Code]]</f>
        <v>OSCU-CONMS</v>
      </c>
      <c r="B65" s="2">
        <f>TableEOINARCH1[[#This Row],[Ver]]</f>
        <v>1</v>
      </c>
      <c r="D65" t="str">
        <f>TableEOINARCH1[[#This Row],[Structure Line]]</f>
        <v>Construction Management Specialisation (OpenUnis)</v>
      </c>
      <c r="E65" s="59">
        <f>TableEOINARCH1[[#This Row],[Credit Points]]</f>
        <v>100</v>
      </c>
      <c r="F65">
        <v>27</v>
      </c>
      <c r="G65" t="s">
        <v>357</v>
      </c>
      <c r="H65">
        <v>0</v>
      </c>
      <c r="I65" t="s">
        <v>330</v>
      </c>
      <c r="J65" t="s">
        <v>124</v>
      </c>
      <c r="K65" s="72">
        <v>1</v>
      </c>
      <c r="L65" s="72" t="s">
        <v>123</v>
      </c>
      <c r="M65" s="72">
        <v>100</v>
      </c>
      <c r="N65" s="168">
        <v>44378</v>
      </c>
      <c r="O65" s="168"/>
    </row>
    <row r="66" spans="1:18" x14ac:dyDescent="0.25">
      <c r="A66" t="str">
        <f>TableEOINARCH1[[#This Row],[Study Package Code]]</f>
        <v>OSCU-DIGDE</v>
      </c>
      <c r="B66" s="2">
        <f>TableEOINARCH1[[#This Row],[Ver]]</f>
        <v>1</v>
      </c>
      <c r="D66" t="str">
        <f>TableEOINARCH1[[#This Row],[Structure Line]]</f>
        <v>Digital Design Specialisation (OpenUnis)</v>
      </c>
      <c r="E66" s="59">
        <f>TableEOINARCH1[[#This Row],[Credit Points]]</f>
        <v>100</v>
      </c>
      <c r="F66">
        <v>27</v>
      </c>
      <c r="G66" t="s">
        <v>357</v>
      </c>
      <c r="H66">
        <v>0</v>
      </c>
      <c r="I66" t="s">
        <v>330</v>
      </c>
      <c r="J66" t="s">
        <v>127</v>
      </c>
      <c r="K66" s="72">
        <v>1</v>
      </c>
      <c r="L66" s="72" t="s">
        <v>126</v>
      </c>
      <c r="M66" s="72">
        <v>100</v>
      </c>
      <c r="N66" s="168">
        <v>45292</v>
      </c>
      <c r="O66" s="168"/>
    </row>
    <row r="67" spans="1:18" x14ac:dyDescent="0.25">
      <c r="A67" t="str">
        <f>TableEOINARCH1[[#This Row],[Study Package Code]]</f>
        <v>OSCU-PLGEO</v>
      </c>
      <c r="B67" s="2">
        <f>TableEOINARCH1[[#This Row],[Ver]]</f>
        <v>1</v>
      </c>
      <c r="D67" t="str">
        <f>TableEOINARCH1[[#This Row],[Structure Line]]</f>
        <v>Planning and Geography Specialisation (OpenUnis)</v>
      </c>
      <c r="E67" s="59">
        <f>TableEOINARCH1[[#This Row],[Credit Points]]</f>
        <v>100</v>
      </c>
      <c r="F67">
        <v>27</v>
      </c>
      <c r="G67" t="s">
        <v>357</v>
      </c>
      <c r="H67">
        <v>0</v>
      </c>
      <c r="I67" t="s">
        <v>330</v>
      </c>
      <c r="J67" t="s">
        <v>130</v>
      </c>
      <c r="K67" s="72">
        <v>1</v>
      </c>
      <c r="L67" s="72" t="s">
        <v>129</v>
      </c>
      <c r="M67" s="72">
        <v>100</v>
      </c>
      <c r="N67" s="168">
        <v>44743</v>
      </c>
      <c r="O67" s="168"/>
    </row>
    <row r="68" spans="1:18" x14ac:dyDescent="0.25">
      <c r="A68" t="str">
        <f>TableEOINARCH1[[#This Row],[Study Package Code]]</f>
        <v>OSEU-ARCHT</v>
      </c>
      <c r="B68" s="2">
        <f>TableEOINARCH1[[#This Row],[Ver]]</f>
        <v>1</v>
      </c>
      <c r="D68" t="str">
        <f>TableEOINARCH1[[#This Row],[Structure Line]]</f>
        <v>Architectural Technology Specialisation (OpenUnis)</v>
      </c>
      <c r="E68" s="59">
        <f>TableEOINARCH1[[#This Row],[Credit Points]]</f>
        <v>100</v>
      </c>
      <c r="F68">
        <v>27</v>
      </c>
      <c r="G68" t="s">
        <v>357</v>
      </c>
      <c r="H68">
        <v>0</v>
      </c>
      <c r="I68" t="s">
        <v>330</v>
      </c>
      <c r="J68" t="s">
        <v>121</v>
      </c>
      <c r="K68" s="72">
        <v>1</v>
      </c>
      <c r="L68" s="72" t="s">
        <v>120</v>
      </c>
      <c r="M68" s="72">
        <v>100</v>
      </c>
      <c r="N68" s="168">
        <v>45292</v>
      </c>
      <c r="O68" s="168"/>
    </row>
    <row r="69" spans="1:18" x14ac:dyDescent="0.25">
      <c r="B69"/>
      <c r="E69"/>
      <c r="F69" s="55"/>
      <c r="G69" s="56" t="s">
        <v>316</v>
      </c>
      <c r="H69" s="57">
        <v>44562</v>
      </c>
      <c r="J69" s="172" t="s">
        <v>117</v>
      </c>
      <c r="K69" s="58" t="s">
        <v>82</v>
      </c>
      <c r="L69" s="55" t="s">
        <v>14</v>
      </c>
      <c r="N69" s="162" t="s">
        <v>317</v>
      </c>
      <c r="O69" s="163">
        <v>45306</v>
      </c>
    </row>
    <row r="70" spans="1:18" x14ac:dyDescent="0.25">
      <c r="A70" t="s">
        <v>0</v>
      </c>
      <c r="B70" s="2" t="s">
        <v>318</v>
      </c>
      <c r="C70" t="s">
        <v>21</v>
      </c>
      <c r="D70" t="s">
        <v>3</v>
      </c>
      <c r="E70" s="59" t="s">
        <v>319</v>
      </c>
      <c r="F70" t="s">
        <v>320</v>
      </c>
      <c r="G70" t="s">
        <v>321</v>
      </c>
      <c r="H70" t="s">
        <v>322</v>
      </c>
      <c r="I70" t="s">
        <v>22</v>
      </c>
      <c r="J70" t="s">
        <v>323</v>
      </c>
      <c r="K70" t="s">
        <v>1</v>
      </c>
      <c r="L70" t="s">
        <v>324</v>
      </c>
      <c r="M70" t="s">
        <v>77</v>
      </c>
      <c r="N70" t="s">
        <v>325</v>
      </c>
      <c r="O70" t="s">
        <v>326</v>
      </c>
      <c r="Q70" t="s">
        <v>327</v>
      </c>
      <c r="R70" t="s">
        <v>328</v>
      </c>
    </row>
    <row r="71" spans="1:18" x14ac:dyDescent="0.25">
      <c r="A71" t="str">
        <f>TableOSCUANGAD[[#This Row],[Study Package Code]]</f>
        <v>GRDE1022</v>
      </c>
      <c r="B71" s="2">
        <f>TableOSCUANGAD[[#This Row],[Ver]]</f>
        <v>1</v>
      </c>
      <c r="C71" t="str">
        <f>LEFT(TableOSCUANGAD[[#This Row],[Structure Line]],(FIND(" ",TableOSCUANGAD[[#This Row],[Structure Line]],1)-1))</f>
        <v>DIG10</v>
      </c>
      <c r="D71" t="str">
        <f>MID(TableOSCUANGAD[[#This Row],[Structure Line]],FIND(" ",TableOSCUANGAD[[#This Row],[Structure Line]])+1,256)</f>
        <v>Game Design Introduction</v>
      </c>
      <c r="E71" s="59">
        <f>TableOSCUANGAD[[#This Row],[Credit Points]]</f>
        <v>25</v>
      </c>
      <c r="F71">
        <v>1</v>
      </c>
      <c r="G71" t="s">
        <v>329</v>
      </c>
      <c r="H71">
        <v>1</v>
      </c>
      <c r="I71" t="s">
        <v>330</v>
      </c>
      <c r="J71" t="s">
        <v>156</v>
      </c>
      <c r="K71">
        <v>1</v>
      </c>
      <c r="L71" t="s">
        <v>358</v>
      </c>
      <c r="M71">
        <v>25</v>
      </c>
      <c r="N71" s="168">
        <v>43466</v>
      </c>
      <c r="O71" s="168"/>
      <c r="Q71" t="s">
        <v>156</v>
      </c>
      <c r="R71">
        <v>1</v>
      </c>
    </row>
    <row r="72" spans="1:18" x14ac:dyDescent="0.25">
      <c r="A72" t="str">
        <f>TableOSCUANGAD[[#This Row],[Study Package Code]]</f>
        <v>GRDE2036</v>
      </c>
      <c r="B72" s="2">
        <f>TableOSCUANGAD[[#This Row],[Ver]]</f>
        <v>1</v>
      </c>
      <c r="C72" t="str">
        <f>LEFT(TableOSCUANGAD[[#This Row],[Structure Line]],(FIND(" ",TableOSCUANGAD[[#This Row],[Structure Line]],1)-1))</f>
        <v>DIG230</v>
      </c>
      <c r="D72" t="str">
        <f>MID(TableOSCUANGAD[[#This Row],[Structure Line]],FIND(" ",TableOSCUANGAD[[#This Row],[Structure Line]])+1,256)</f>
        <v>Introduction to 3D Modelling and Rendering</v>
      </c>
      <c r="E72" s="59">
        <f>TableOSCUANGAD[[#This Row],[Credit Points]]</f>
        <v>25</v>
      </c>
      <c r="F72">
        <v>2</v>
      </c>
      <c r="G72" t="s">
        <v>329</v>
      </c>
      <c r="H72">
        <v>2</v>
      </c>
      <c r="I72" t="s">
        <v>330</v>
      </c>
      <c r="J72" t="s">
        <v>162</v>
      </c>
      <c r="K72">
        <v>1</v>
      </c>
      <c r="L72" t="s">
        <v>359</v>
      </c>
      <c r="M72">
        <v>25</v>
      </c>
      <c r="N72" s="168">
        <v>43101</v>
      </c>
      <c r="O72" s="168"/>
      <c r="Q72" t="s">
        <v>162</v>
      </c>
      <c r="R72">
        <v>1</v>
      </c>
    </row>
    <row r="73" spans="1:18" x14ac:dyDescent="0.25">
      <c r="A73" t="str">
        <f>TableOSCUANGAD[[#This Row],[Study Package Code]]</f>
        <v>GRDE2042</v>
      </c>
      <c r="B73" s="2">
        <f>TableOSCUANGAD[[#This Row],[Ver]]</f>
        <v>1</v>
      </c>
      <c r="C73" t="str">
        <f>LEFT(TableOSCUANGAD[[#This Row],[Structure Line]],(FIND(" ",TableOSCUANGAD[[#This Row],[Structure Line]],1)-1))</f>
        <v>DIG28</v>
      </c>
      <c r="D73" t="str">
        <f>MID(TableOSCUANGAD[[#This Row],[Structure Line]],FIND(" ",TableOSCUANGAD[[#This Row],[Structure Line]])+1,256)</f>
        <v>Animation and Motion Graphics Design</v>
      </c>
      <c r="E73" s="59">
        <f>TableOSCUANGAD[[#This Row],[Credit Points]]</f>
        <v>25</v>
      </c>
      <c r="F73">
        <v>3</v>
      </c>
      <c r="G73" t="s">
        <v>329</v>
      </c>
      <c r="H73">
        <v>2</v>
      </c>
      <c r="I73" t="s">
        <v>330</v>
      </c>
      <c r="J73" t="s">
        <v>168</v>
      </c>
      <c r="K73">
        <v>1</v>
      </c>
      <c r="L73" t="s">
        <v>360</v>
      </c>
      <c r="M73">
        <v>25</v>
      </c>
      <c r="N73" s="168">
        <v>43282</v>
      </c>
      <c r="O73" s="168"/>
      <c r="Q73" t="s">
        <v>168</v>
      </c>
      <c r="R73">
        <v>1</v>
      </c>
    </row>
    <row r="74" spans="1:18" x14ac:dyDescent="0.25">
      <c r="A74" t="str">
        <f>TableOSCUANGAD[[#This Row],[Study Package Code]]</f>
        <v>AC-ANGAD</v>
      </c>
      <c r="B74" s="2">
        <f>TableOSCUANGAD[[#This Row],[Ver]]</f>
        <v>0</v>
      </c>
      <c r="D74" t="str">
        <f>TableOSCUANGAD[[#This Row],[Structure Line]]</f>
        <v>Choose GRDE3033 or WORK3002</v>
      </c>
      <c r="E74" s="59">
        <f>TableOSCUANGAD[[#This Row],[Credit Points]]</f>
        <v>25</v>
      </c>
      <c r="F74">
        <v>4</v>
      </c>
      <c r="G74" t="s">
        <v>357</v>
      </c>
      <c r="H74">
        <v>3</v>
      </c>
      <c r="I74" t="s">
        <v>330</v>
      </c>
      <c r="J74" t="s">
        <v>177</v>
      </c>
      <c r="K74">
        <v>0</v>
      </c>
      <c r="L74" t="s">
        <v>361</v>
      </c>
      <c r="M74">
        <v>25</v>
      </c>
      <c r="N74" s="168"/>
      <c r="O74" s="168"/>
      <c r="Q74" t="s">
        <v>177</v>
      </c>
      <c r="R74">
        <v>0</v>
      </c>
    </row>
    <row r="75" spans="1:18" x14ac:dyDescent="0.25">
      <c r="A75" t="str">
        <f>TableOSCUANGAD[[#This Row],[Study Package Code]]</f>
        <v>GRDE3033</v>
      </c>
      <c r="B75" s="2">
        <f>TableOSCUANGAD[[#This Row],[Ver]]</f>
        <v>2</v>
      </c>
      <c r="C75" t="str">
        <f>LEFT(TableOSCUANGAD[[#This Row],[Structure Line]],(FIND(" ",TableOSCUANGAD[[#This Row],[Structure Line]],1)-1))</f>
        <v>DIG39</v>
      </c>
      <c r="D75" t="str">
        <f>MID(TableOSCUANGAD[[#This Row],[Structure Line]],FIND(" ",TableOSCUANGAD[[#This Row],[Structure Line]])+1,256)</f>
        <v>Industry Project Development</v>
      </c>
      <c r="E75" s="59">
        <f>TableOSCUANGAD[[#This Row],[Credit Points]]</f>
        <v>25</v>
      </c>
      <c r="F75">
        <v>4</v>
      </c>
      <c r="G75" t="s">
        <v>357</v>
      </c>
      <c r="H75">
        <v>3</v>
      </c>
      <c r="I75" t="s">
        <v>330</v>
      </c>
      <c r="J75" t="s">
        <v>182</v>
      </c>
      <c r="K75">
        <v>2</v>
      </c>
      <c r="L75" t="s">
        <v>362</v>
      </c>
      <c r="M75">
        <v>25</v>
      </c>
      <c r="N75" s="168">
        <v>44378</v>
      </c>
      <c r="O75" s="168"/>
      <c r="Q75" t="s">
        <v>182</v>
      </c>
      <c r="R75">
        <v>2</v>
      </c>
    </row>
    <row r="76" spans="1:18" x14ac:dyDescent="0.25">
      <c r="A76" t="str">
        <f>TableOSCUANGAD[[#This Row],[Study Package Code]]</f>
        <v>WORK3002</v>
      </c>
      <c r="B76" s="2">
        <f>TableOSCUANGAD[[#This Row],[Ver]]</f>
        <v>1</v>
      </c>
      <c r="C76" t="str">
        <f>LEFT(TableOSCUANGAD[[#This Row],[Structure Line]],(FIND(" ",TableOSCUANGAD[[#This Row],[Structure Line]],1)-1))</f>
        <v>WBP300</v>
      </c>
      <c r="D76" t="str">
        <f>MID(TableOSCUANGAD[[#This Row],[Structure Line]],FIND(" ",TableOSCUANGAD[[#This Row],[Structure Line]])+1,256)</f>
        <v>Work Based Project</v>
      </c>
      <c r="E76" s="59">
        <f>TableOSCUANGAD[[#This Row],[Credit Points]]</f>
        <v>25</v>
      </c>
      <c r="F76">
        <v>4</v>
      </c>
      <c r="G76" t="s">
        <v>357</v>
      </c>
      <c r="H76">
        <v>3</v>
      </c>
      <c r="I76" t="s">
        <v>330</v>
      </c>
      <c r="J76" t="s">
        <v>185</v>
      </c>
      <c r="K76">
        <v>1</v>
      </c>
      <c r="L76" t="s">
        <v>363</v>
      </c>
      <c r="M76">
        <v>25</v>
      </c>
      <c r="N76" s="168">
        <v>44287</v>
      </c>
      <c r="O76" s="168"/>
      <c r="Q76" t="s">
        <v>185</v>
      </c>
      <c r="R76">
        <v>1</v>
      </c>
    </row>
    <row r="77" spans="1:18" x14ac:dyDescent="0.25">
      <c r="B77"/>
      <c r="E77"/>
      <c r="F77" s="55"/>
      <c r="G77" s="56" t="s">
        <v>316</v>
      </c>
      <c r="H77" s="57">
        <v>44197</v>
      </c>
      <c r="J77" s="172" t="s">
        <v>124</v>
      </c>
      <c r="K77" s="58" t="s">
        <v>82</v>
      </c>
      <c r="L77" s="55" t="s">
        <v>123</v>
      </c>
      <c r="N77" s="162" t="s">
        <v>317</v>
      </c>
      <c r="O77" s="163">
        <v>45320</v>
      </c>
    </row>
    <row r="78" spans="1:18" x14ac:dyDescent="0.25">
      <c r="A78" t="s">
        <v>0</v>
      </c>
      <c r="B78" s="2" t="s">
        <v>318</v>
      </c>
      <c r="C78" t="s">
        <v>21</v>
      </c>
      <c r="D78" t="s">
        <v>3</v>
      </c>
      <c r="E78" s="59" t="s">
        <v>319</v>
      </c>
      <c r="F78" t="s">
        <v>320</v>
      </c>
      <c r="G78" t="s">
        <v>321</v>
      </c>
      <c r="H78" t="s">
        <v>322</v>
      </c>
      <c r="I78" t="s">
        <v>22</v>
      </c>
      <c r="J78" t="s">
        <v>323</v>
      </c>
      <c r="K78" t="s">
        <v>1</v>
      </c>
      <c r="L78" t="s">
        <v>324</v>
      </c>
      <c r="M78" t="s">
        <v>77</v>
      </c>
      <c r="N78" t="s">
        <v>325</v>
      </c>
      <c r="O78" t="s">
        <v>326</v>
      </c>
      <c r="Q78" t="s">
        <v>327</v>
      </c>
      <c r="R78" t="s">
        <v>328</v>
      </c>
    </row>
    <row r="79" spans="1:18" x14ac:dyDescent="0.25">
      <c r="A79" t="str">
        <f>TableOSCUCONMS[[#This Row],[Study Package Code]]</f>
        <v>AC-CONMS</v>
      </c>
      <c r="B79" s="2">
        <f>TableOSCUCONMS[[#This Row],[Ver]]</f>
        <v>0</v>
      </c>
      <c r="D79" t="str">
        <f>TableOSCUCONMS[[#This Row],[Structure Line]]</f>
        <v>Choose CME103 BLDG1009 or CME106 BLDG1006</v>
      </c>
      <c r="E79" s="59">
        <f>TableOSCUCONMS[[#This Row],[Credit Points]]</f>
        <v>25</v>
      </c>
      <c r="F79">
        <v>1</v>
      </c>
      <c r="G79" t="s">
        <v>357</v>
      </c>
      <c r="H79">
        <v>0</v>
      </c>
      <c r="I79" t="s">
        <v>330</v>
      </c>
      <c r="J79" t="s">
        <v>170</v>
      </c>
      <c r="K79">
        <v>0</v>
      </c>
      <c r="L79" t="s">
        <v>364</v>
      </c>
      <c r="M79">
        <v>25</v>
      </c>
      <c r="N79" s="168"/>
      <c r="O79" s="168"/>
    </row>
    <row r="80" spans="1:18" x14ac:dyDescent="0.25">
      <c r="A80" t="str">
        <f>TableOSCUCONMS[[#This Row],[Study Package Code]]</f>
        <v>BLDG1005</v>
      </c>
      <c r="B80" s="2">
        <f>TableOSCUCONMS[[#This Row],[Ver]]</f>
        <v>2</v>
      </c>
      <c r="C80" t="str">
        <f>LEFT(TableOSCUCONMS[[#This Row],[Structure Line]],(FIND(" ",TableOSCUCONMS[[#This Row],[Structure Line]],1)-1))</f>
        <v>CME101</v>
      </c>
      <c r="D80" t="str">
        <f>MID(TableOSCUCONMS[[#This Row],[Structure Line]],FIND(" ",TableOSCUCONMS[[#This Row],[Structure Line]])+1,256)</f>
        <v>Low Rise Construction</v>
      </c>
      <c r="E80" s="59">
        <f>TableOSCUCONMS[[#This Row],[Credit Points]]</f>
        <v>25</v>
      </c>
      <c r="F80">
        <v>2</v>
      </c>
      <c r="G80" t="s">
        <v>329</v>
      </c>
      <c r="H80">
        <v>0</v>
      </c>
      <c r="I80" t="s">
        <v>330</v>
      </c>
      <c r="J80" t="s">
        <v>158</v>
      </c>
      <c r="K80">
        <v>2</v>
      </c>
      <c r="L80" t="s">
        <v>365</v>
      </c>
      <c r="M80">
        <v>25</v>
      </c>
      <c r="N80" s="168">
        <v>43466</v>
      </c>
      <c r="O80" s="168"/>
    </row>
    <row r="81" spans="1:18" x14ac:dyDescent="0.25">
      <c r="A81" t="str">
        <f>TableOSCUCONMS[[#This Row],[Study Package Code]]</f>
        <v>BLAW3031</v>
      </c>
      <c r="B81" s="2">
        <f>TableOSCUCONMS[[#This Row],[Ver]]</f>
        <v>1</v>
      </c>
      <c r="C81" t="str">
        <f>LEFT(TableOSCUCONMS[[#This Row],[Structure Line]],(FIND(" ",TableOSCUCONMS[[#This Row],[Structure Line]],1)-1))</f>
        <v>CME309</v>
      </c>
      <c r="D81" t="str">
        <f>MID(TableOSCUCONMS[[#This Row],[Structure Line]],FIND(" ",TableOSCUCONMS[[#This Row],[Structure Line]])+1,256)</f>
        <v>Construction Contracts and Law</v>
      </c>
      <c r="E81" s="59">
        <f>TableOSCUCONMS[[#This Row],[Credit Points]]</f>
        <v>25</v>
      </c>
      <c r="F81">
        <v>3</v>
      </c>
      <c r="G81" t="s">
        <v>329</v>
      </c>
      <c r="H81">
        <v>0</v>
      </c>
      <c r="I81" t="s">
        <v>330</v>
      </c>
      <c r="J81" t="s">
        <v>190</v>
      </c>
      <c r="K81">
        <v>1</v>
      </c>
      <c r="L81" t="s">
        <v>366</v>
      </c>
      <c r="M81">
        <v>25</v>
      </c>
      <c r="N81" s="168">
        <v>43466</v>
      </c>
      <c r="O81" s="168"/>
    </row>
    <row r="82" spans="1:18" x14ac:dyDescent="0.25">
      <c r="A82" t="str">
        <f>TableOSCUCONMS[[#This Row],[Study Package Code]]</f>
        <v>BLDG2027</v>
      </c>
      <c r="B82" s="2">
        <f>TableOSCUCONMS[[#This Row],[Ver]]</f>
        <v>3</v>
      </c>
      <c r="C82" t="str">
        <f>LEFT(TableOSCUCONMS[[#This Row],[Structure Line]],(FIND(" ",TableOSCUCONMS[[#This Row],[Structure Line]],1)-1))</f>
        <v>CME206</v>
      </c>
      <c r="D82" t="str">
        <f>MID(TableOSCUCONMS[[#This Row],[Structure Line]],FIND(" ",TableOSCUCONMS[[#This Row],[Structure Line]])+1,256)</f>
        <v>Building Surveying</v>
      </c>
      <c r="E82" s="59">
        <f>TableOSCUCONMS[[#This Row],[Credit Points]]</f>
        <v>25</v>
      </c>
      <c r="F82">
        <v>4</v>
      </c>
      <c r="G82" t="s">
        <v>329</v>
      </c>
      <c r="H82">
        <v>0</v>
      </c>
      <c r="I82" t="s">
        <v>330</v>
      </c>
      <c r="J82" t="s">
        <v>188</v>
      </c>
      <c r="K82">
        <v>3</v>
      </c>
      <c r="L82" t="s">
        <v>367</v>
      </c>
      <c r="M82">
        <v>25</v>
      </c>
      <c r="N82" s="168">
        <v>43466</v>
      </c>
      <c r="O82" s="168"/>
    </row>
    <row r="83" spans="1:18" x14ac:dyDescent="0.25">
      <c r="A83" t="str">
        <f>TableOSCUCONMS[[#This Row],[Study Package Code]]</f>
        <v>BLDG1006</v>
      </c>
      <c r="B83" s="2">
        <f>TableOSCUCONMS[[#This Row],[Ver]]</f>
        <v>3</v>
      </c>
      <c r="C83" t="str">
        <f>LEFT(TableOSCUCONMS[[#This Row],[Structure Line]],(FIND(" ",TableOSCUCONMS[[#This Row],[Structure Line]],1)-1))</f>
        <v>CME106</v>
      </c>
      <c r="D83" t="str">
        <f>MID(TableOSCUCONMS[[#This Row],[Structure Line]],FIND(" ",TableOSCUCONMS[[#This Row],[Structure Line]])+1,256)</f>
        <v>High-rise Construction</v>
      </c>
      <c r="E83" s="59">
        <f>TableOSCUCONMS[[#This Row],[Credit Points]]</f>
        <v>25</v>
      </c>
      <c r="F83">
        <v>1</v>
      </c>
      <c r="G83" t="s">
        <v>357</v>
      </c>
      <c r="H83">
        <v>0</v>
      </c>
      <c r="I83" t="s">
        <v>330</v>
      </c>
      <c r="J83" t="s">
        <v>174</v>
      </c>
      <c r="K83">
        <v>3</v>
      </c>
      <c r="L83" t="s">
        <v>368</v>
      </c>
      <c r="M83">
        <v>25</v>
      </c>
      <c r="N83" s="168">
        <v>44927</v>
      </c>
      <c r="O83" s="168"/>
    </row>
    <row r="84" spans="1:18" x14ac:dyDescent="0.25">
      <c r="A84" t="str">
        <f>TableOSCUCONMS[[#This Row],[Study Package Code]]</f>
        <v>BLDG1009</v>
      </c>
      <c r="B84" s="2">
        <f>TableOSCUCONMS[[#This Row],[Ver]]</f>
        <v>3</v>
      </c>
      <c r="C84" t="str">
        <f>LEFT(TableOSCUCONMS[[#This Row],[Structure Line]],(FIND(" ",TableOSCUCONMS[[#This Row],[Structure Line]],1)-1))</f>
        <v>CME103</v>
      </c>
      <c r="D84" t="str">
        <f>MID(TableOSCUCONMS[[#This Row],[Structure Line]],FIND(" ",TableOSCUCONMS[[#This Row],[Structure Line]])+1,256)</f>
        <v>Introduction to Management in Construction</v>
      </c>
      <c r="E84" s="59">
        <f>TableOSCUCONMS[[#This Row],[Credit Points]]</f>
        <v>25</v>
      </c>
      <c r="F84">
        <v>1</v>
      </c>
      <c r="G84" t="s">
        <v>357</v>
      </c>
      <c r="H84">
        <v>0</v>
      </c>
      <c r="I84" t="s">
        <v>330</v>
      </c>
      <c r="J84" t="s">
        <v>179</v>
      </c>
      <c r="K84">
        <v>3</v>
      </c>
      <c r="L84" t="s">
        <v>369</v>
      </c>
      <c r="M84">
        <v>25</v>
      </c>
      <c r="N84" s="168">
        <v>44927</v>
      </c>
      <c r="O84" s="168"/>
    </row>
    <row r="85" spans="1:18" x14ac:dyDescent="0.25">
      <c r="B85"/>
      <c r="E85"/>
      <c r="F85" s="55"/>
      <c r="G85" s="56" t="s">
        <v>316</v>
      </c>
      <c r="H85" s="173">
        <v>45292</v>
      </c>
      <c r="J85" s="172" t="s">
        <v>127</v>
      </c>
      <c r="K85" s="171" t="s">
        <v>82</v>
      </c>
      <c r="L85" s="55" t="s">
        <v>126</v>
      </c>
      <c r="N85" s="162" t="s">
        <v>317</v>
      </c>
      <c r="O85" s="163">
        <v>45320</v>
      </c>
    </row>
    <row r="86" spans="1:18" x14ac:dyDescent="0.25">
      <c r="A86" t="s">
        <v>0</v>
      </c>
      <c r="B86" s="2" t="s">
        <v>318</v>
      </c>
      <c r="C86" t="s">
        <v>21</v>
      </c>
      <c r="D86" t="s">
        <v>3</v>
      </c>
      <c r="E86" s="59" t="s">
        <v>319</v>
      </c>
      <c r="F86" t="s">
        <v>320</v>
      </c>
      <c r="G86" t="s">
        <v>321</v>
      </c>
      <c r="H86" t="s">
        <v>322</v>
      </c>
      <c r="I86" t="s">
        <v>22</v>
      </c>
      <c r="J86" t="s">
        <v>323</v>
      </c>
      <c r="K86" t="s">
        <v>1</v>
      </c>
      <c r="L86" t="s">
        <v>324</v>
      </c>
      <c r="M86" t="s">
        <v>77</v>
      </c>
      <c r="N86" t="s">
        <v>325</v>
      </c>
      <c r="O86" t="s">
        <v>326</v>
      </c>
      <c r="Q86" t="s">
        <v>327</v>
      </c>
      <c r="R86" t="s">
        <v>328</v>
      </c>
    </row>
    <row r="87" spans="1:18" x14ac:dyDescent="0.25">
      <c r="A87" t="str">
        <f>TableOSCUDIGDE[[#This Row],[Study Package Code]]</f>
        <v>GRDE1017</v>
      </c>
      <c r="B87" s="2">
        <f>TableOSCUDIGDE[[#This Row],[Ver]]</f>
        <v>2</v>
      </c>
      <c r="C87" t="str">
        <f>LEFT(TableOSCUDIGDE[[#This Row],[Structure Line]],(FIND(" ",TableOSCUDIGDE[[#This Row],[Structure Line]],1)-1))</f>
        <v>DIG12</v>
      </c>
      <c r="D87" t="str">
        <f>MID(TableOSCUDIGDE[[#This Row],[Structure Line]],FIND(" ",TableOSCUDIGDE[[#This Row],[Structure Line]])+1,256)</f>
        <v>Digital Design 1</v>
      </c>
      <c r="E87" s="59">
        <f>TableOSCUDIGDE[[#This Row],[Credit Points]]</f>
        <v>25</v>
      </c>
      <c r="F87">
        <v>1</v>
      </c>
      <c r="G87" t="s">
        <v>329</v>
      </c>
      <c r="H87">
        <v>0</v>
      </c>
      <c r="I87" t="s">
        <v>330</v>
      </c>
      <c r="J87" t="s">
        <v>159</v>
      </c>
      <c r="K87">
        <v>2</v>
      </c>
      <c r="L87" t="s">
        <v>370</v>
      </c>
      <c r="M87">
        <v>25</v>
      </c>
      <c r="N87" s="168">
        <v>44197</v>
      </c>
      <c r="O87" s="168"/>
    </row>
    <row r="88" spans="1:18" x14ac:dyDescent="0.25">
      <c r="A88" t="str">
        <f>TableOSCUDIGDE[[#This Row],[Study Package Code]]</f>
        <v>ICTE2003</v>
      </c>
      <c r="B88" s="2">
        <f>TableOSCUDIGDE[[#This Row],[Ver]]</f>
        <v>2</v>
      </c>
      <c r="C88" t="str">
        <f>LEFT(TableOSCUDIGDE[[#This Row],[Structure Line]],(FIND(" ",TableOSCUDIGDE[[#This Row],[Structure Line]],1)-1))</f>
        <v>DIG21</v>
      </c>
      <c r="D88" t="str">
        <f>MID(TableOSCUDIGDE[[#This Row],[Structure Line]],FIND(" ",TableOSCUDIGDE[[#This Row],[Structure Line]])+1,256)</f>
        <v>UX Design 2</v>
      </c>
      <c r="E88" s="59">
        <f>TableOSCUDIGDE[[#This Row],[Credit Points]]</f>
        <v>25</v>
      </c>
      <c r="F88">
        <v>2</v>
      </c>
      <c r="G88" t="s">
        <v>329</v>
      </c>
      <c r="H88">
        <v>0</v>
      </c>
      <c r="I88" t="s">
        <v>330</v>
      </c>
      <c r="J88" t="s">
        <v>165</v>
      </c>
      <c r="K88">
        <v>2</v>
      </c>
      <c r="L88" t="s">
        <v>371</v>
      </c>
      <c r="M88">
        <v>25</v>
      </c>
      <c r="N88" s="168">
        <v>44197</v>
      </c>
      <c r="O88" s="168"/>
    </row>
    <row r="89" spans="1:18" x14ac:dyDescent="0.25">
      <c r="A89" t="str">
        <f>TableOSCUDIGDE[[#This Row],[Study Package Code]]</f>
        <v>GRDE2023</v>
      </c>
      <c r="B89" s="2">
        <f>TableOSCUDIGDE[[#This Row],[Ver]]</f>
        <v>3</v>
      </c>
      <c r="C89" t="str">
        <f>LEFT(TableOSCUDIGDE[[#This Row],[Structure Line]],(FIND(" ",TableOSCUDIGDE[[#This Row],[Structure Line]],1)-1))</f>
        <v>DIG22</v>
      </c>
      <c r="D89" t="str">
        <f>MID(TableOSCUDIGDE[[#This Row],[Structure Line]],FIND(" ",TableOSCUDIGDE[[#This Row],[Structure Line]])+1,256)</f>
        <v>Web Design 1</v>
      </c>
      <c r="E89" s="59">
        <f>TableOSCUDIGDE[[#This Row],[Credit Points]]</f>
        <v>25</v>
      </c>
      <c r="F89">
        <v>3</v>
      </c>
      <c r="G89" t="s">
        <v>329</v>
      </c>
      <c r="H89">
        <v>0</v>
      </c>
      <c r="I89" t="s">
        <v>330</v>
      </c>
      <c r="J89" t="s">
        <v>171</v>
      </c>
      <c r="K89">
        <v>3</v>
      </c>
      <c r="L89" t="s">
        <v>372</v>
      </c>
      <c r="M89">
        <v>25</v>
      </c>
      <c r="N89" s="168">
        <v>44197</v>
      </c>
      <c r="O89" s="168"/>
    </row>
    <row r="90" spans="1:18" x14ac:dyDescent="0.25">
      <c r="A90" t="str">
        <f>TableOSCUDIGDE[[#This Row],[Study Package Code]]</f>
        <v>GRDE2030</v>
      </c>
      <c r="B90" s="2">
        <f>TableOSCUDIGDE[[#This Row],[Ver]]</f>
        <v>3</v>
      </c>
      <c r="C90" t="str">
        <f>LEFT(TableOSCUDIGDE[[#This Row],[Structure Line]],(FIND(" ",TableOSCUDIGDE[[#This Row],[Structure Line]],1)-1))</f>
        <v>DIG24</v>
      </c>
      <c r="D90" t="str">
        <f>MID(TableOSCUDIGDE[[#This Row],[Structure Line]],FIND(" ",TableOSCUDIGDE[[#This Row],[Structure Line]])+1,256)</f>
        <v>Web Design 2</v>
      </c>
      <c r="E90" s="59">
        <f>TableOSCUDIGDE[[#This Row],[Credit Points]]</f>
        <v>25</v>
      </c>
      <c r="F90">
        <v>4</v>
      </c>
      <c r="G90" t="s">
        <v>329</v>
      </c>
      <c r="H90">
        <v>0</v>
      </c>
      <c r="I90" t="s">
        <v>330</v>
      </c>
      <c r="J90" t="s">
        <v>175</v>
      </c>
      <c r="K90">
        <v>3</v>
      </c>
      <c r="L90" t="s">
        <v>373</v>
      </c>
      <c r="M90">
        <v>25</v>
      </c>
      <c r="N90" s="168">
        <v>44197</v>
      </c>
      <c r="O90" s="168"/>
    </row>
    <row r="91" spans="1:18" x14ac:dyDescent="0.25">
      <c r="B91"/>
      <c r="E91"/>
      <c r="F91" s="55"/>
      <c r="G91" s="56" t="s">
        <v>316</v>
      </c>
      <c r="H91" s="57">
        <v>44743</v>
      </c>
      <c r="J91" s="172" t="s">
        <v>130</v>
      </c>
      <c r="K91" s="58" t="s">
        <v>82</v>
      </c>
      <c r="L91" s="55" t="s">
        <v>129</v>
      </c>
      <c r="N91" s="162" t="s">
        <v>317</v>
      </c>
      <c r="O91" s="163">
        <v>45306</v>
      </c>
    </row>
    <row r="92" spans="1:18" x14ac:dyDescent="0.25">
      <c r="A92" t="s">
        <v>0</v>
      </c>
      <c r="B92" s="2" t="s">
        <v>318</v>
      </c>
      <c r="C92" t="s">
        <v>21</v>
      </c>
      <c r="D92" t="s">
        <v>3</v>
      </c>
      <c r="E92" s="59" t="s">
        <v>319</v>
      </c>
      <c r="F92" t="s">
        <v>320</v>
      </c>
      <c r="G92" t="s">
        <v>321</v>
      </c>
      <c r="H92" t="s">
        <v>322</v>
      </c>
      <c r="I92" t="s">
        <v>22</v>
      </c>
      <c r="J92" t="s">
        <v>323</v>
      </c>
      <c r="K92" t="s">
        <v>1</v>
      </c>
      <c r="L92" t="s">
        <v>324</v>
      </c>
      <c r="M92" t="s">
        <v>77</v>
      </c>
      <c r="N92" t="s">
        <v>325</v>
      </c>
      <c r="O92" t="s">
        <v>326</v>
      </c>
      <c r="Q92" t="s">
        <v>327</v>
      </c>
      <c r="R92" t="s">
        <v>328</v>
      </c>
    </row>
    <row r="93" spans="1:18" x14ac:dyDescent="0.25">
      <c r="A93" t="str">
        <f>TableOSCUPLGEO[[#This Row],[Study Package Code]]</f>
        <v>URDE1008</v>
      </c>
      <c r="B93" s="2">
        <f>TableOSCUPLGEO[[#This Row],[Ver]]</f>
        <v>1</v>
      </c>
      <c r="C93" t="str">
        <f>LEFT(TableOSCUPLGEO[[#This Row],[Structure Line]],(FIND(" ",TableOSCUPLGEO[[#This Row],[Structure Line]],1)-1))</f>
        <v>URP110</v>
      </c>
      <c r="D93" t="str">
        <f>MID(TableOSCUPLGEO[[#This Row],[Structure Line]],FIND(" ",TableOSCUPLGEO[[#This Row],[Structure Line]])+1,256)</f>
        <v>Introduction to Planning</v>
      </c>
      <c r="E93" s="59">
        <f>TableOSCUPLGEO[[#This Row],[Credit Points]]</f>
        <v>25</v>
      </c>
      <c r="F93">
        <v>1</v>
      </c>
      <c r="G93" t="s">
        <v>329</v>
      </c>
      <c r="H93">
        <v>1</v>
      </c>
      <c r="I93" t="s">
        <v>330</v>
      </c>
      <c r="J93" t="s">
        <v>166</v>
      </c>
      <c r="K93">
        <v>1</v>
      </c>
      <c r="L93" t="s">
        <v>374</v>
      </c>
      <c r="M93">
        <v>25</v>
      </c>
      <c r="N93" s="168">
        <v>42979</v>
      </c>
      <c r="O93" s="168"/>
      <c r="Q93" t="s">
        <v>166</v>
      </c>
      <c r="R93">
        <v>1</v>
      </c>
    </row>
    <row r="94" spans="1:18" x14ac:dyDescent="0.25">
      <c r="A94" t="str">
        <f>TableOSCUPLGEO[[#This Row],[Study Package Code]]</f>
        <v>URDE1007</v>
      </c>
      <c r="B94" s="2">
        <f>TableOSCUPLGEO[[#This Row],[Ver]]</f>
        <v>1</v>
      </c>
      <c r="C94" t="str">
        <f>LEFT(TableOSCUPLGEO[[#This Row],[Structure Line]],(FIND(" ",TableOSCUPLGEO[[#This Row],[Structure Line]],1)-1))</f>
        <v>URP100</v>
      </c>
      <c r="D94" t="str">
        <f>MID(TableOSCUPLGEO[[#This Row],[Structure Line]],FIND(" ",TableOSCUPLGEO[[#This Row],[Structure Line]])+1,256)</f>
        <v>Governance for Planning</v>
      </c>
      <c r="E94" s="59">
        <f>TableOSCUPLGEO[[#This Row],[Credit Points]]</f>
        <v>25</v>
      </c>
      <c r="F94">
        <v>2</v>
      </c>
      <c r="G94" t="s">
        <v>329</v>
      </c>
      <c r="H94">
        <v>1</v>
      </c>
      <c r="I94" t="s">
        <v>330</v>
      </c>
      <c r="J94" t="s">
        <v>160</v>
      </c>
      <c r="K94">
        <v>1</v>
      </c>
      <c r="L94" t="s">
        <v>375</v>
      </c>
      <c r="M94">
        <v>25</v>
      </c>
      <c r="N94" s="168">
        <v>42979</v>
      </c>
      <c r="O94" s="168"/>
      <c r="Q94" t="s">
        <v>160</v>
      </c>
      <c r="R94">
        <v>1</v>
      </c>
    </row>
    <row r="95" spans="1:18" x14ac:dyDescent="0.25">
      <c r="A95" t="str">
        <f>TableOSCUPLGEO[[#This Row],[Study Package Code]]</f>
        <v>PHGY3001</v>
      </c>
      <c r="B95" s="2">
        <f>TableOSCUPLGEO[[#This Row],[Ver]]</f>
        <v>3</v>
      </c>
      <c r="C95" t="str">
        <f>LEFT(TableOSCUPLGEO[[#This Row],[Structure Line]],(FIND(" ",TableOSCUPLGEO[[#This Row],[Structure Line]],1)-1))</f>
        <v>GPH311</v>
      </c>
      <c r="D95" t="str">
        <f>MID(TableOSCUPLGEO[[#This Row],[Structure Line]],FIND(" ",TableOSCUPLGEO[[#This Row],[Structure Line]])+1,256)</f>
        <v>Cultural Landscapes</v>
      </c>
      <c r="E95" s="59">
        <f>TableOSCUPLGEO[[#This Row],[Credit Points]]</f>
        <v>25</v>
      </c>
      <c r="F95">
        <v>3</v>
      </c>
      <c r="G95" t="s">
        <v>329</v>
      </c>
      <c r="H95">
        <v>3</v>
      </c>
      <c r="I95" t="s">
        <v>330</v>
      </c>
      <c r="J95" t="s">
        <v>172</v>
      </c>
      <c r="K95">
        <v>3</v>
      </c>
      <c r="L95" t="s">
        <v>376</v>
      </c>
      <c r="M95">
        <v>25</v>
      </c>
      <c r="N95" s="168">
        <v>44562</v>
      </c>
      <c r="O95" s="168"/>
      <c r="Q95" t="s">
        <v>172</v>
      </c>
      <c r="R95">
        <v>3</v>
      </c>
    </row>
    <row r="96" spans="1:18" x14ac:dyDescent="0.25">
      <c r="A96" t="str">
        <f>TableOSCUPLGEO[[#This Row],[Study Package Code]]</f>
        <v>AC-PLGEO</v>
      </c>
      <c r="B96" s="2">
        <f>TableOSCUPLGEO[[#This Row],[Ver]]</f>
        <v>0</v>
      </c>
      <c r="D96" t="str">
        <f>TableOSCUPLGEO[[#This Row],[Structure Line]]</f>
        <v>Choose WORK3002 or GEOG3002</v>
      </c>
      <c r="E96" s="59">
        <f>TableOSCUPLGEO[[#This Row],[Credit Points]]</f>
        <v>25</v>
      </c>
      <c r="F96">
        <v>4</v>
      </c>
      <c r="G96" t="s">
        <v>357</v>
      </c>
      <c r="H96">
        <v>3</v>
      </c>
      <c r="I96" t="s">
        <v>330</v>
      </c>
      <c r="J96" t="s">
        <v>180</v>
      </c>
      <c r="K96">
        <v>0</v>
      </c>
      <c r="L96" t="s">
        <v>377</v>
      </c>
      <c r="M96">
        <v>25</v>
      </c>
      <c r="N96" s="168"/>
      <c r="O96" s="168"/>
      <c r="Q96" t="s">
        <v>180</v>
      </c>
      <c r="R96">
        <v>0</v>
      </c>
    </row>
    <row r="97" spans="1:18" x14ac:dyDescent="0.25">
      <c r="A97" t="str">
        <f>TableOSCUPLGEO[[#This Row],[Study Package Code]]</f>
        <v>GEOG3002</v>
      </c>
      <c r="B97" s="2">
        <f>TableOSCUPLGEO[[#This Row],[Ver]]</f>
        <v>2</v>
      </c>
      <c r="C97" t="str">
        <f>LEFT(TableOSCUPLGEO[[#This Row],[Structure Line]],(FIND(" ",TableOSCUPLGEO[[#This Row],[Structure Line]],1)-1))</f>
        <v>GPH320</v>
      </c>
      <c r="D97" t="str">
        <f>MID(TableOSCUPLGEO[[#This Row],[Structure Line]],FIND(" ",TableOSCUPLGEO[[#This Row],[Structure Line]])+1,256)</f>
        <v>Urban Geographies</v>
      </c>
      <c r="E97" s="59">
        <f>TableOSCUPLGEO[[#This Row],[Credit Points]]</f>
        <v>25</v>
      </c>
      <c r="F97">
        <v>4</v>
      </c>
      <c r="G97" t="s">
        <v>357</v>
      </c>
      <c r="H97">
        <v>3</v>
      </c>
      <c r="I97" t="s">
        <v>330</v>
      </c>
      <c r="J97" t="s">
        <v>183</v>
      </c>
      <c r="K97">
        <v>2</v>
      </c>
      <c r="L97" t="s">
        <v>378</v>
      </c>
      <c r="M97">
        <v>25</v>
      </c>
      <c r="N97" s="168">
        <v>44562</v>
      </c>
      <c r="O97" s="168"/>
      <c r="Q97" t="s">
        <v>183</v>
      </c>
      <c r="R97">
        <v>2</v>
      </c>
    </row>
    <row r="98" spans="1:18" x14ac:dyDescent="0.25">
      <c r="A98" t="str">
        <f>TableOSCUPLGEO[[#This Row],[Study Package Code]]</f>
        <v>WORK3002</v>
      </c>
      <c r="B98" s="2">
        <f>TableOSCUPLGEO[[#This Row],[Ver]]</f>
        <v>1</v>
      </c>
      <c r="C98" t="str">
        <f>LEFT(TableOSCUPLGEO[[#This Row],[Structure Line]],(FIND(" ",TableOSCUPLGEO[[#This Row],[Structure Line]],1)-1))</f>
        <v>WBP300</v>
      </c>
      <c r="D98" t="str">
        <f>MID(TableOSCUPLGEO[[#This Row],[Structure Line]],FIND(" ",TableOSCUPLGEO[[#This Row],[Structure Line]])+1,256)</f>
        <v>Work Based Project</v>
      </c>
      <c r="E98" s="59">
        <f>TableOSCUPLGEO[[#This Row],[Credit Points]]</f>
        <v>25</v>
      </c>
      <c r="F98">
        <v>4</v>
      </c>
      <c r="G98" t="s">
        <v>357</v>
      </c>
      <c r="H98">
        <v>3</v>
      </c>
      <c r="I98" t="s">
        <v>330</v>
      </c>
      <c r="J98" t="s">
        <v>185</v>
      </c>
      <c r="K98">
        <v>1</v>
      </c>
      <c r="L98" t="s">
        <v>363</v>
      </c>
      <c r="M98">
        <v>25</v>
      </c>
      <c r="N98" s="168">
        <v>44287</v>
      </c>
      <c r="O98" s="168"/>
      <c r="Q98" t="s">
        <v>185</v>
      </c>
      <c r="R98">
        <v>1</v>
      </c>
    </row>
    <row r="99" spans="1:18" x14ac:dyDescent="0.25">
      <c r="B99"/>
      <c r="E99"/>
      <c r="F99" s="55"/>
      <c r="G99" s="56" t="s">
        <v>316</v>
      </c>
      <c r="H99" s="173">
        <v>45292</v>
      </c>
      <c r="J99" s="172" t="s">
        <v>121</v>
      </c>
      <c r="K99" s="171" t="s">
        <v>82</v>
      </c>
      <c r="L99" s="55" t="s">
        <v>120</v>
      </c>
      <c r="N99" s="162" t="s">
        <v>317</v>
      </c>
      <c r="O99" s="163">
        <v>45320</v>
      </c>
    </row>
    <row r="100" spans="1:18" x14ac:dyDescent="0.25">
      <c r="A100" t="s">
        <v>0</v>
      </c>
      <c r="B100" s="2" t="s">
        <v>318</v>
      </c>
      <c r="C100" t="s">
        <v>21</v>
      </c>
      <c r="D100" t="s">
        <v>3</v>
      </c>
      <c r="E100" s="59" t="s">
        <v>319</v>
      </c>
      <c r="F100" t="s">
        <v>320</v>
      </c>
      <c r="G100" t="s">
        <v>321</v>
      </c>
      <c r="H100" t="s">
        <v>322</v>
      </c>
      <c r="I100" t="s">
        <v>22</v>
      </c>
      <c r="J100" t="s">
        <v>323</v>
      </c>
      <c r="K100" t="s">
        <v>1</v>
      </c>
      <c r="L100" t="s">
        <v>324</v>
      </c>
      <c r="M100" t="s">
        <v>77</v>
      </c>
      <c r="N100" t="s">
        <v>325</v>
      </c>
      <c r="O100" t="s">
        <v>326</v>
      </c>
      <c r="Q100" t="s">
        <v>327</v>
      </c>
      <c r="R100" t="s">
        <v>328</v>
      </c>
    </row>
    <row r="101" spans="1:18" x14ac:dyDescent="0.25">
      <c r="A101" t="str">
        <f>TableOSEUARCHT[[#This Row],[Study Package Code]]</f>
        <v>ARCH1009</v>
      </c>
      <c r="B101" s="2">
        <f>TableOSEUARCHT[[#This Row],[Ver]]</f>
        <v>2</v>
      </c>
      <c r="C101" t="str">
        <f>LEFT(TableOSEUARCHT[[#This Row],[Structure Line]],(FIND(" ",TableOSEUARCHT[[#This Row],[Structure Line]],1)-1))</f>
        <v>BAS120</v>
      </c>
      <c r="D101" t="str">
        <f>MID(TableOSEUARCHT[[#This Row],[Structure Line]],FIND(" ",TableOSEUARCHT[[#This Row],[Structure Line]])+1,256)</f>
        <v>Sustainability and Structures in Architecture</v>
      </c>
      <c r="E101" s="59">
        <f>TableOSEUARCHT[[#This Row],[Credit Points]]</f>
        <v>25</v>
      </c>
      <c r="F101">
        <v>1</v>
      </c>
      <c r="G101" t="s">
        <v>329</v>
      </c>
      <c r="H101">
        <v>0</v>
      </c>
      <c r="I101" t="s">
        <v>330</v>
      </c>
      <c r="J101" t="s">
        <v>163</v>
      </c>
      <c r="K101">
        <v>2</v>
      </c>
      <c r="L101" t="s">
        <v>379</v>
      </c>
      <c r="M101">
        <v>25</v>
      </c>
      <c r="N101" s="168">
        <v>44562</v>
      </c>
      <c r="O101" s="168"/>
    </row>
    <row r="102" spans="1:18" x14ac:dyDescent="0.25">
      <c r="A102" t="str">
        <f>TableOSEUARCHT[[#This Row],[Study Package Code]]</f>
        <v>ARCH1026</v>
      </c>
      <c r="B102" s="2">
        <f>TableOSEUARCHT[[#This Row],[Ver]]</f>
        <v>2</v>
      </c>
      <c r="C102" t="str">
        <f>LEFT(TableOSEUARCHT[[#This Row],[Structure Line]],(FIND(" ",TableOSEUARCHT[[#This Row],[Structure Line]],1)-1))</f>
        <v>BAS150</v>
      </c>
      <c r="D102" t="str">
        <f>MID(TableOSEUARCHT[[#This Row],[Structure Line]],FIND(" ",TableOSEUARCHT[[#This Row],[Structure Line]])+1,256)</f>
        <v>Architectural Science in Context</v>
      </c>
      <c r="E102" s="59">
        <f>TableOSEUARCHT[[#This Row],[Credit Points]]</f>
        <v>25</v>
      </c>
      <c r="F102">
        <v>2</v>
      </c>
      <c r="G102" t="s">
        <v>329</v>
      </c>
      <c r="H102">
        <v>0</v>
      </c>
      <c r="I102" t="s">
        <v>330</v>
      </c>
      <c r="J102" t="s">
        <v>157</v>
      </c>
      <c r="K102">
        <v>2</v>
      </c>
      <c r="L102" t="s">
        <v>380</v>
      </c>
      <c r="M102">
        <v>25</v>
      </c>
      <c r="N102" s="168">
        <v>44562</v>
      </c>
      <c r="O102" s="168"/>
    </row>
    <row r="103" spans="1:18" x14ac:dyDescent="0.25">
      <c r="A103" t="str">
        <f>TableOSEUARCHT[[#This Row],[Study Package Code]]</f>
        <v>ARCH2031</v>
      </c>
      <c r="B103" s="2">
        <f>TableOSEUARCHT[[#This Row],[Ver]]</f>
        <v>3</v>
      </c>
      <c r="C103" t="str">
        <f>LEFT(TableOSEUARCHT[[#This Row],[Structure Line]],(FIND(" ",TableOSEUARCHT[[#This Row],[Structure Line]],1)-1))</f>
        <v>BAS205</v>
      </c>
      <c r="D103" t="str">
        <f>MID(TableOSEUARCHT[[#This Row],[Structure Line]],FIND(" ",TableOSEUARCHT[[#This Row],[Structure Line]])+1,256)</f>
        <v>Architecture Methods 2A - Digital Fabrication</v>
      </c>
      <c r="E103" s="59">
        <f>TableOSEUARCHT[[#This Row],[Credit Points]]</f>
        <v>25</v>
      </c>
      <c r="F103">
        <v>3</v>
      </c>
      <c r="G103" t="s">
        <v>329</v>
      </c>
      <c r="H103">
        <v>0</v>
      </c>
      <c r="I103" t="s">
        <v>330</v>
      </c>
      <c r="J103" t="s">
        <v>169</v>
      </c>
      <c r="K103">
        <v>3</v>
      </c>
      <c r="L103" t="s">
        <v>381</v>
      </c>
      <c r="M103">
        <v>25</v>
      </c>
      <c r="N103" s="168">
        <v>44562</v>
      </c>
      <c r="O103" s="168"/>
    </row>
    <row r="104" spans="1:18" x14ac:dyDescent="0.25">
      <c r="A104" t="str">
        <f>TableOSEUARCHT[[#This Row],[Study Package Code]]</f>
        <v>Opt-ARCHT</v>
      </c>
      <c r="B104" s="2">
        <f>TableOSEUARCHT[[#This Row],[Ver]]</f>
        <v>0</v>
      </c>
      <c r="D104" t="str">
        <f>TableOSEUARCHT[[#This Row],[Structure Line]]</f>
        <v>Choose Option</v>
      </c>
      <c r="E104" s="59">
        <f>TableOSEUARCHT[[#This Row],[Credit Points]]</f>
        <v>25</v>
      </c>
      <c r="F104">
        <v>4</v>
      </c>
      <c r="G104" t="s">
        <v>382</v>
      </c>
      <c r="H104">
        <v>0</v>
      </c>
      <c r="I104" t="s">
        <v>330</v>
      </c>
      <c r="J104" t="s">
        <v>178</v>
      </c>
      <c r="K104">
        <v>0</v>
      </c>
      <c r="L104" t="s">
        <v>383</v>
      </c>
      <c r="M104">
        <v>25</v>
      </c>
      <c r="N104" s="168"/>
      <c r="O104" s="168"/>
    </row>
    <row r="105" spans="1:18" x14ac:dyDescent="0.25">
      <c r="A105" t="str">
        <f>TableOSEUARCHT[[#This Row],[Study Package Code]]</f>
        <v>ARCH2027</v>
      </c>
      <c r="B105" s="2">
        <f>TableOSEUARCHT[[#This Row],[Ver]]</f>
        <v>3</v>
      </c>
      <c r="C105" t="str">
        <f>LEFT(TableOSEUARCHT[[#This Row],[Structure Line]],(FIND(" ",TableOSEUARCHT[[#This Row],[Structure Line]],1)-1))</f>
        <v>BAS235</v>
      </c>
      <c r="D105" t="str">
        <f>MID(TableOSEUARCHT[[#This Row],[Structure Line]],FIND(" ",TableOSEUARCHT[[#This Row],[Structure Line]])+1,256)</f>
        <v>Architecture Methods 2B - Information Visualisation</v>
      </c>
      <c r="E105" s="59">
        <f>TableOSEUARCHT[[#This Row],[Credit Points]]</f>
        <v>25</v>
      </c>
      <c r="F105">
        <v>4</v>
      </c>
      <c r="G105" t="s">
        <v>382</v>
      </c>
      <c r="H105">
        <v>0</v>
      </c>
      <c r="I105" t="s">
        <v>330</v>
      </c>
      <c r="J105" t="s">
        <v>107</v>
      </c>
      <c r="K105">
        <v>3</v>
      </c>
      <c r="L105" t="s">
        <v>338</v>
      </c>
      <c r="M105">
        <v>25</v>
      </c>
      <c r="N105" s="168">
        <v>44562</v>
      </c>
      <c r="O105" s="168"/>
    </row>
    <row r="106" spans="1:18" x14ac:dyDescent="0.25">
      <c r="A106" t="str">
        <f>TableOSEUARCHT[[#This Row],[Study Package Code]]</f>
        <v>WORK3002</v>
      </c>
      <c r="B106" s="2">
        <f>TableOSEUARCHT[[#This Row],[Ver]]</f>
        <v>1</v>
      </c>
      <c r="C106" t="str">
        <f>LEFT(TableOSEUARCHT[[#This Row],[Structure Line]],(FIND(" ",TableOSEUARCHT[[#This Row],[Structure Line]],1)-1))</f>
        <v>WBP300</v>
      </c>
      <c r="D106" t="str">
        <f>MID(TableOSEUARCHT[[#This Row],[Structure Line]],FIND(" ",TableOSEUARCHT[[#This Row],[Structure Line]])+1,256)</f>
        <v>Work Based Project</v>
      </c>
      <c r="E106" s="59">
        <f>TableOSEUARCHT[[#This Row],[Credit Points]]</f>
        <v>25</v>
      </c>
      <c r="F106">
        <v>4</v>
      </c>
      <c r="G106" t="s">
        <v>382</v>
      </c>
      <c r="H106">
        <v>0</v>
      </c>
      <c r="I106" t="s">
        <v>330</v>
      </c>
      <c r="J106" t="s">
        <v>185</v>
      </c>
      <c r="K106">
        <v>1</v>
      </c>
      <c r="L106" t="s">
        <v>363</v>
      </c>
      <c r="M106">
        <v>25</v>
      </c>
      <c r="N106" s="168">
        <v>44287</v>
      </c>
      <c r="O106" s="168"/>
    </row>
    <row r="107" spans="1:18" x14ac:dyDescent="0.25">
      <c r="K107" s="72"/>
      <c r="L107" s="72"/>
      <c r="M107" s="72"/>
      <c r="N107" s="168"/>
      <c r="O107" s="168"/>
    </row>
    <row r="108" spans="1:18" x14ac:dyDescent="0.25">
      <c r="B108"/>
      <c r="E108"/>
      <c r="F108" s="55"/>
      <c r="G108" s="56" t="s">
        <v>316</v>
      </c>
      <c r="H108" s="173">
        <v>45292</v>
      </c>
      <c r="I108" s="160"/>
      <c r="J108" s="161" t="s">
        <v>90</v>
      </c>
      <c r="K108" s="171" t="s">
        <v>82</v>
      </c>
      <c r="L108" s="160" t="s">
        <v>89</v>
      </c>
      <c r="M108" s="160"/>
      <c r="N108" s="162" t="s">
        <v>317</v>
      </c>
      <c r="O108" s="163">
        <v>45320</v>
      </c>
    </row>
    <row r="109" spans="1:18" x14ac:dyDescent="0.25">
      <c r="A109" t="s">
        <v>0</v>
      </c>
      <c r="B109" s="2" t="s">
        <v>318</v>
      </c>
      <c r="C109" t="s">
        <v>21</v>
      </c>
      <c r="D109" t="s">
        <v>3</v>
      </c>
      <c r="E109" s="59" t="s">
        <v>319</v>
      </c>
      <c r="F109" t="s">
        <v>320</v>
      </c>
      <c r="G109" t="s">
        <v>321</v>
      </c>
      <c r="H109" t="s">
        <v>322</v>
      </c>
      <c r="I109" t="s">
        <v>22</v>
      </c>
      <c r="J109" t="s">
        <v>323</v>
      </c>
      <c r="K109" t="s">
        <v>1</v>
      </c>
      <c r="L109" t="s">
        <v>324</v>
      </c>
      <c r="M109" t="s">
        <v>77</v>
      </c>
      <c r="N109" t="s">
        <v>325</v>
      </c>
      <c r="O109" t="s">
        <v>326</v>
      </c>
      <c r="Q109" t="s">
        <v>327</v>
      </c>
      <c r="R109" t="s">
        <v>328</v>
      </c>
    </row>
    <row r="110" spans="1:18" x14ac:dyDescent="0.25">
      <c r="A110" t="str">
        <f>TableOUINDSGN[[#This Row],[Study Package Code]]</f>
        <v>COMS1007</v>
      </c>
      <c r="B110" s="2">
        <f>TableOUINDSGN[[#This Row],[Ver]]</f>
        <v>1</v>
      </c>
      <c r="C110" t="str">
        <f>LEFT(TableOUINDSGN[[#This Row],[Structure Line]],(FIND(" ",TableOUINDSGN[[#This Row],[Structure Line]],1)-1))</f>
        <v>APC100</v>
      </c>
      <c r="D110" t="str">
        <f>MID(TableOUINDSGN[[#This Row],[Structure Line]],FIND(" ",TableOUINDSGN[[#This Row],[Structure Line]])+3,256)</f>
        <v>Academic and Professional Communications</v>
      </c>
      <c r="E110" s="59">
        <f>TableOUINDSGN[[#This Row],[Credit Points]]</f>
        <v>25</v>
      </c>
      <c r="F110">
        <v>1</v>
      </c>
      <c r="G110" t="s">
        <v>329</v>
      </c>
      <c r="H110">
        <v>1</v>
      </c>
      <c r="I110" t="s">
        <v>330</v>
      </c>
      <c r="J110" t="s">
        <v>74</v>
      </c>
      <c r="K110" s="72">
        <v>1</v>
      </c>
      <c r="L110" s="72" t="s">
        <v>331</v>
      </c>
      <c r="M110" s="72">
        <v>25</v>
      </c>
      <c r="N110" s="168">
        <v>42005</v>
      </c>
      <c r="O110" s="168" t="s">
        <v>384</v>
      </c>
    </row>
    <row r="111" spans="1:18" x14ac:dyDescent="0.25">
      <c r="A111" t="str">
        <f>TableOUINDSGN[[#This Row],[Study Package Code]]</f>
        <v>ARCH1020</v>
      </c>
      <c r="B111" s="2">
        <f>TableOUINDSGN[[#This Row],[Ver]]</f>
        <v>3</v>
      </c>
      <c r="C111" t="str">
        <f>LEFT(TableOUINDSGN[[#This Row],[Structure Line]],(FIND(" ",TableOUINDSGN[[#This Row],[Structure Line]],1)-1))</f>
        <v>BAS115</v>
      </c>
      <c r="D111" t="str">
        <f>MID(TableOUINDSGN[[#This Row],[Structure Line]],FIND(" ",TableOUINDSGN[[#This Row],[Structure Line]])+1,256)</f>
        <v>Architecture and Interior Architecture Methods 1A - Analogue Literacy</v>
      </c>
      <c r="E111" s="59">
        <f>TableOUINDSGN[[#This Row],[Credit Points]]</f>
        <v>25</v>
      </c>
      <c r="F111">
        <v>2</v>
      </c>
      <c r="G111" t="s">
        <v>329</v>
      </c>
      <c r="H111">
        <v>1</v>
      </c>
      <c r="I111" t="s">
        <v>330</v>
      </c>
      <c r="J111" t="s">
        <v>67</v>
      </c>
      <c r="K111" s="72">
        <v>3</v>
      </c>
      <c r="L111" s="72" t="s">
        <v>332</v>
      </c>
      <c r="M111" s="72">
        <v>25</v>
      </c>
      <c r="N111" s="168">
        <v>44562</v>
      </c>
      <c r="O111" s="168" t="s">
        <v>384</v>
      </c>
    </row>
    <row r="112" spans="1:18" x14ac:dyDescent="0.25">
      <c r="A112" t="str">
        <f>TableOUINDSGN[[#This Row],[Study Package Code]]</f>
        <v>ARCH1024</v>
      </c>
      <c r="B112" s="2">
        <f>TableOUINDSGN[[#This Row],[Ver]]</f>
        <v>3</v>
      </c>
      <c r="C112" t="str">
        <f>LEFT(TableOUINDSGN[[#This Row],[Structure Line]],(FIND(" ",TableOUINDSGN[[#This Row],[Structure Line]],1)-1))</f>
        <v>BAS140</v>
      </c>
      <c r="D112" t="str">
        <f>MID(TableOUINDSGN[[#This Row],[Structure Line]],FIND(" ",TableOUINDSGN[[#This Row],[Structure Line]])+1,256)</f>
        <v>Architecture and Interior Architecture Design Studio 1 - Small Structures</v>
      </c>
      <c r="E112" s="59">
        <f>TableOUINDSGN[[#This Row],[Credit Points]]</f>
        <v>25</v>
      </c>
      <c r="F112">
        <v>3</v>
      </c>
      <c r="G112" t="s">
        <v>329</v>
      </c>
      <c r="H112">
        <v>1</v>
      </c>
      <c r="I112" t="s">
        <v>330</v>
      </c>
      <c r="J112" t="s">
        <v>88</v>
      </c>
      <c r="K112" s="72">
        <v>3</v>
      </c>
      <c r="L112" s="72" t="s">
        <v>333</v>
      </c>
      <c r="M112" s="72">
        <v>25</v>
      </c>
      <c r="N112" s="168">
        <v>44562</v>
      </c>
      <c r="O112" s="168" t="s">
        <v>384</v>
      </c>
    </row>
    <row r="113" spans="1:15" x14ac:dyDescent="0.25">
      <c r="A113" t="str">
        <f>TableOUINDSGN[[#This Row],[Study Package Code]]</f>
        <v>ARCH1021</v>
      </c>
      <c r="B113" s="2">
        <f>TableOUINDSGN[[#This Row],[Ver]]</f>
        <v>3</v>
      </c>
      <c r="C113" t="str">
        <f>LEFT(TableOUINDSGN[[#This Row],[Structure Line]],(FIND(" ",TableOUINDSGN[[#This Row],[Structure Line]],1)-1))</f>
        <v>BAS145</v>
      </c>
      <c r="D113" t="str">
        <f>MID(TableOUINDSGN[[#This Row],[Structure Line]],FIND(" ",TableOUINDSGN[[#This Row],[Structure Line]])+1,256)</f>
        <v>Architecture and Interior Architecture Methods 1B - Digital Literacy</v>
      </c>
      <c r="E113" s="59">
        <f>TableOUINDSGN[[#This Row],[Credit Points]]</f>
        <v>25</v>
      </c>
      <c r="F113" s="72">
        <v>4</v>
      </c>
      <c r="G113" s="72" t="s">
        <v>329</v>
      </c>
      <c r="H113" s="72">
        <v>1</v>
      </c>
      <c r="I113" s="72" t="s">
        <v>330</v>
      </c>
      <c r="J113" s="72" t="s">
        <v>71</v>
      </c>
      <c r="K113" s="72">
        <v>3</v>
      </c>
      <c r="L113" s="72" t="s">
        <v>334</v>
      </c>
      <c r="M113" s="72">
        <v>25</v>
      </c>
      <c r="N113" s="168">
        <v>44562</v>
      </c>
      <c r="O113" s="168" t="s">
        <v>384</v>
      </c>
    </row>
    <row r="114" spans="1:15" x14ac:dyDescent="0.25">
      <c r="A114" t="str">
        <f>TableOUINDSGN[[#This Row],[Study Package Code]]</f>
        <v>INAR1011</v>
      </c>
      <c r="B114" s="2">
        <f>TableOUINDSGN[[#This Row],[Ver]]</f>
        <v>4</v>
      </c>
      <c r="C114" t="str">
        <f>LEFT(TableOUINDSGN[[#This Row],[Structure Line]],(FIND(" ",TableOUINDSGN[[#This Row],[Structure Line]],1)-1))</f>
        <v>BIA140</v>
      </c>
      <c r="D114" t="str">
        <f>MID(TableOUINDSGN[[#This Row],[Structure Line]],FIND(" ",TableOUINDSGN[[#This Row],[Structure Line]])+1,256)</f>
        <v>Interior Architecture Studio - Foundation</v>
      </c>
      <c r="E114" s="59">
        <f>TableOUINDSGN[[#This Row],[Credit Points]]</f>
        <v>25</v>
      </c>
      <c r="F114">
        <v>5</v>
      </c>
      <c r="G114" t="s">
        <v>329</v>
      </c>
      <c r="H114">
        <v>1</v>
      </c>
      <c r="I114" t="s">
        <v>330</v>
      </c>
      <c r="J114" t="s">
        <v>73</v>
      </c>
      <c r="K114" s="72">
        <v>4</v>
      </c>
      <c r="L114" s="72" t="s">
        <v>335</v>
      </c>
      <c r="M114" s="72">
        <v>25</v>
      </c>
      <c r="N114" s="168">
        <v>45292</v>
      </c>
      <c r="O114" s="168" t="s">
        <v>384</v>
      </c>
    </row>
    <row r="115" spans="1:15" x14ac:dyDescent="0.25">
      <c r="A115" t="str">
        <f>TableOUINDSGN[[#This Row],[Study Package Code]]</f>
        <v>INAR1015</v>
      </c>
      <c r="B115" s="2">
        <f>TableOUINDSGN[[#This Row],[Ver]]</f>
        <v>1</v>
      </c>
      <c r="C115" t="str">
        <f>LEFT(TableOUINDSGN[[#This Row],[Structure Line]],(FIND(" ",TableOUINDSGN[[#This Row],[Structure Line]],1)-1))</f>
        <v>BIA170</v>
      </c>
      <c r="D115" t="str">
        <f>MID(TableOUINDSGN[[#This Row],[Structure Line]],FIND(" ",TableOUINDSGN[[#This Row],[Structure Line]])+1,256)</f>
        <v>History of the Interior</v>
      </c>
      <c r="E115" s="59">
        <f>TableOUINDSGN[[#This Row],[Credit Points]]</f>
        <v>25</v>
      </c>
      <c r="F115" s="72">
        <v>6</v>
      </c>
      <c r="G115" s="72" t="s">
        <v>329</v>
      </c>
      <c r="H115" s="72">
        <v>1</v>
      </c>
      <c r="I115" s="72" t="s">
        <v>330</v>
      </c>
      <c r="J115" s="72" t="s">
        <v>87</v>
      </c>
      <c r="K115" s="72">
        <v>1</v>
      </c>
      <c r="L115" s="72" t="s">
        <v>336</v>
      </c>
      <c r="M115" s="72">
        <v>25</v>
      </c>
      <c r="N115" s="168">
        <v>43101</v>
      </c>
      <c r="O115" s="168" t="s">
        <v>384</v>
      </c>
    </row>
    <row r="116" spans="1:15" x14ac:dyDescent="0.25">
      <c r="A116" t="str">
        <f>TableOUINDSGN[[#This Row],[Study Package Code]]</f>
        <v>ARCH2029</v>
      </c>
      <c r="B116" s="2">
        <f>TableOUINDSGN[[#This Row],[Ver]]</f>
        <v>3</v>
      </c>
      <c r="C116" t="str">
        <f>LEFT(TableOUINDSGN[[#This Row],[Structure Line]],(FIND(" ",TableOUINDSGN[[#This Row],[Structure Line]],1)-1))</f>
        <v>BAS200</v>
      </c>
      <c r="D116" t="str">
        <f>MID(TableOUINDSGN[[#This Row],[Structure Line]],FIND(" ",TableOUINDSGN[[#This Row],[Structure Line]])+1,256)</f>
        <v>Architecture and Interior Architecture Design Studio 2A - Residential Typology and Grammar</v>
      </c>
      <c r="E116" s="59">
        <f>TableOUINDSGN[[#This Row],[Credit Points]]</f>
        <v>25</v>
      </c>
      <c r="F116">
        <v>7</v>
      </c>
      <c r="G116" t="s">
        <v>329</v>
      </c>
      <c r="H116">
        <v>2</v>
      </c>
      <c r="I116" t="s">
        <v>330</v>
      </c>
      <c r="J116" t="s">
        <v>105</v>
      </c>
      <c r="K116" s="72">
        <v>3</v>
      </c>
      <c r="L116" s="72" t="s">
        <v>337</v>
      </c>
      <c r="M116" s="72">
        <v>25</v>
      </c>
      <c r="N116" s="168">
        <v>44562</v>
      </c>
      <c r="O116" s="168" t="s">
        <v>384</v>
      </c>
    </row>
    <row r="117" spans="1:15" x14ac:dyDescent="0.25">
      <c r="A117" t="str">
        <f>TableOUINDSGN[[#This Row],[Study Package Code]]</f>
        <v>ARCH2027</v>
      </c>
      <c r="B117" s="2">
        <f>TableOUINDSGN[[#This Row],[Ver]]</f>
        <v>3</v>
      </c>
      <c r="C117" t="str">
        <f>LEFT(TableOUINDSGN[[#This Row],[Structure Line]],(FIND(" ",TableOUINDSGN[[#This Row],[Structure Line]],1)-1))</f>
        <v>BAS235</v>
      </c>
      <c r="D117" t="str">
        <f>MID(TableOUINDSGN[[#This Row],[Structure Line]],FIND(" ",TableOUINDSGN[[#This Row],[Structure Line]])+1,256)</f>
        <v>Architecture Methods 2B - Information Visualisation</v>
      </c>
      <c r="E117" s="59">
        <f>TableOUINDSGN[[#This Row],[Credit Points]]</f>
        <v>25</v>
      </c>
      <c r="F117">
        <v>8</v>
      </c>
      <c r="G117" t="s">
        <v>329</v>
      </c>
      <c r="H117">
        <v>2</v>
      </c>
      <c r="I117" t="s">
        <v>330</v>
      </c>
      <c r="J117" t="s">
        <v>107</v>
      </c>
      <c r="K117" s="72">
        <v>3</v>
      </c>
      <c r="L117" s="72" t="s">
        <v>338</v>
      </c>
      <c r="M117" s="72">
        <v>25</v>
      </c>
      <c r="N117" s="168">
        <v>44562</v>
      </c>
      <c r="O117" s="168" t="s">
        <v>384</v>
      </c>
    </row>
    <row r="118" spans="1:15" x14ac:dyDescent="0.25">
      <c r="A118" t="str">
        <f>TableOUINDSGN[[#This Row],[Study Package Code]]</f>
        <v>INAR2020</v>
      </c>
      <c r="B118" s="2">
        <f>TableOUINDSGN[[#This Row],[Ver]]</f>
        <v>2</v>
      </c>
      <c r="C118" t="str">
        <f>LEFT(TableOUINDSGN[[#This Row],[Structure Line]],(FIND(" ",TableOUINDSGN[[#This Row],[Structure Line]],1)-1))</f>
        <v>BIA200</v>
      </c>
      <c r="D118" t="str">
        <f>MID(TableOUINDSGN[[#This Row],[Structure Line]],FIND(" ",TableOUINDSGN[[#This Row],[Structure Line]])+1,256)</f>
        <v>Interior Architecture Fundamentals</v>
      </c>
      <c r="E118" s="59">
        <f>TableOUINDSGN[[#This Row],[Credit Points]]</f>
        <v>25</v>
      </c>
      <c r="F118">
        <v>9</v>
      </c>
      <c r="G118" t="s">
        <v>329</v>
      </c>
      <c r="H118">
        <v>2</v>
      </c>
      <c r="I118" t="s">
        <v>330</v>
      </c>
      <c r="J118" t="s">
        <v>92</v>
      </c>
      <c r="K118" s="72">
        <v>2</v>
      </c>
      <c r="L118" s="72" t="s">
        <v>339</v>
      </c>
      <c r="M118" s="72">
        <v>25</v>
      </c>
      <c r="N118" s="168">
        <v>45292</v>
      </c>
      <c r="O118" s="168" t="s">
        <v>384</v>
      </c>
    </row>
    <row r="119" spans="1:15" x14ac:dyDescent="0.25">
      <c r="A119" t="str">
        <f>TableOUINDSGN[[#This Row],[Study Package Code]]</f>
        <v>INAR2015</v>
      </c>
      <c r="B119" s="2">
        <f>TableOUINDSGN[[#This Row],[Ver]]</f>
        <v>4</v>
      </c>
      <c r="C119" t="str">
        <f>LEFT(TableOUINDSGN[[#This Row],[Structure Line]],(FIND(" ",TableOUINDSGN[[#This Row],[Structure Line]],1)-1))</f>
        <v>BIA250</v>
      </c>
      <c r="D119" t="str">
        <f>MID(TableOUINDSGN[[#This Row],[Structure Line]],FIND(" ",TableOUINDSGN[[#This Row],[Structure Line]])+1,256)</f>
        <v>Interior Architecture Studio – Community</v>
      </c>
      <c r="E119" s="59">
        <f>TableOUINDSGN[[#This Row],[Credit Points]]</f>
        <v>25</v>
      </c>
      <c r="F119">
        <v>10</v>
      </c>
      <c r="G119" t="s">
        <v>329</v>
      </c>
      <c r="H119">
        <v>2</v>
      </c>
      <c r="I119" t="s">
        <v>330</v>
      </c>
      <c r="J119" t="s">
        <v>100</v>
      </c>
      <c r="K119" s="72">
        <v>4</v>
      </c>
      <c r="L119" s="72" t="s">
        <v>340</v>
      </c>
      <c r="M119" s="72">
        <v>25</v>
      </c>
      <c r="N119" s="168">
        <v>45292</v>
      </c>
      <c r="O119" s="168" t="s">
        <v>384</v>
      </c>
    </row>
    <row r="120" spans="1:15" x14ac:dyDescent="0.25">
      <c r="A120" t="str">
        <f>TableOUINDSGN[[#This Row],[Study Package Code]]</f>
        <v>INAR2023</v>
      </c>
      <c r="B120" s="2">
        <f>TableOUINDSGN[[#This Row],[Ver]]</f>
        <v>1</v>
      </c>
      <c r="C120" t="str">
        <f>LEFT(TableOUINDSGN[[#This Row],[Structure Line]],(FIND(" ",TableOUINDSGN[[#This Row],[Structure Line]],1)-1))</f>
        <v>BIA280</v>
      </c>
      <c r="D120" t="str">
        <f>MID(TableOUINDSGN[[#This Row],[Structure Line]],FIND(" ",TableOUINDSGN[[#This Row],[Structure Line]])+1,256)</f>
        <v>Philosophy and Practice</v>
      </c>
      <c r="E120" s="59">
        <f>TableOUINDSGN[[#This Row],[Credit Points]]</f>
        <v>25</v>
      </c>
      <c r="F120">
        <v>11</v>
      </c>
      <c r="G120" t="s">
        <v>329</v>
      </c>
      <c r="H120">
        <v>2</v>
      </c>
      <c r="I120" t="s">
        <v>330</v>
      </c>
      <c r="J120" t="s">
        <v>93</v>
      </c>
      <c r="K120" s="72">
        <v>1</v>
      </c>
      <c r="L120" s="72" t="s">
        <v>341</v>
      </c>
      <c r="M120" s="72">
        <v>25</v>
      </c>
      <c r="N120" s="168">
        <v>44562</v>
      </c>
      <c r="O120" s="168" t="s">
        <v>384</v>
      </c>
    </row>
    <row r="121" spans="1:15" x14ac:dyDescent="0.25">
      <c r="A121" t="str">
        <f>TableOUINDSGN[[#This Row],[Study Package Code]]</f>
        <v>GRDE2045</v>
      </c>
      <c r="B121" s="2">
        <f>TableOUINDSGN[[#This Row],[Ver]]</f>
        <v>1</v>
      </c>
      <c r="C121" t="str">
        <f>LEFT(TableOUINDSGN[[#This Row],[Structure Line]],(FIND(" ",TableOUINDSGN[[#This Row],[Structure Line]],1)-1))</f>
        <v>DSN200</v>
      </c>
      <c r="D121" t="str">
        <f>MID(TableOUINDSGN[[#This Row],[Structure Line]],FIND(" ",TableOUINDSGN[[#This Row],[Structure Line]])+1,256)</f>
        <v>3D Modelling and Digital Fabrication</v>
      </c>
      <c r="E121" s="59">
        <f>TableOUINDSGN[[#This Row],[Credit Points]]</f>
        <v>25</v>
      </c>
      <c r="F121" s="72">
        <v>12</v>
      </c>
      <c r="G121" s="72" t="s">
        <v>329</v>
      </c>
      <c r="H121" s="72">
        <v>2</v>
      </c>
      <c r="I121" s="72" t="s">
        <v>330</v>
      </c>
      <c r="J121" s="72" t="s">
        <v>109</v>
      </c>
      <c r="K121" s="72">
        <v>1</v>
      </c>
      <c r="L121" s="72" t="s">
        <v>342</v>
      </c>
      <c r="M121" s="72">
        <v>25</v>
      </c>
      <c r="N121" s="168">
        <v>45292</v>
      </c>
      <c r="O121" s="168" t="s">
        <v>384</v>
      </c>
    </row>
    <row r="122" spans="1:15" x14ac:dyDescent="0.25">
      <c r="A122" t="str">
        <f>TableOUINDSGN[[#This Row],[Study Package Code]]</f>
        <v>ARCH3015</v>
      </c>
      <c r="B122" s="2">
        <f>TableOUINDSGN[[#This Row],[Ver]]</f>
        <v>4</v>
      </c>
      <c r="C122" t="str">
        <f>LEFT(TableOUINDSGN[[#This Row],[Structure Line]],(FIND(" ",TableOUINDSGN[[#This Row],[Structure Line]],1)-1))</f>
        <v>BAS310</v>
      </c>
      <c r="D122" t="str">
        <f>MID(TableOUINDSGN[[#This Row],[Structure Line]],FIND(" ",TableOUINDSGN[[#This Row],[Structure Line]])+1,256)</f>
        <v>Environmental and Building Systems in Architecture</v>
      </c>
      <c r="E122" s="59">
        <f>TableOUINDSGN[[#This Row],[Credit Points]]</f>
        <v>25</v>
      </c>
      <c r="F122">
        <v>13</v>
      </c>
      <c r="G122" t="s">
        <v>329</v>
      </c>
      <c r="H122">
        <v>3</v>
      </c>
      <c r="I122" t="s">
        <v>330</v>
      </c>
      <c r="J122" t="s">
        <v>122</v>
      </c>
      <c r="K122" s="72">
        <v>4</v>
      </c>
      <c r="L122" s="72" t="s">
        <v>343</v>
      </c>
      <c r="M122" s="72">
        <v>25</v>
      </c>
      <c r="N122" s="168">
        <v>44562</v>
      </c>
      <c r="O122" s="168" t="s">
        <v>384</v>
      </c>
    </row>
    <row r="123" spans="1:15" x14ac:dyDescent="0.25">
      <c r="A123" t="str">
        <f>TableOUINDSGN[[#This Row],[Study Package Code]]</f>
        <v>INAR2025</v>
      </c>
      <c r="B123" s="2">
        <f>TableOUINDSGN[[#This Row],[Ver]]</f>
        <v>1</v>
      </c>
      <c r="C123" t="str">
        <f>LEFT(TableOUINDSGN[[#This Row],[Structure Line]],(FIND(" ",TableOUINDSGN[[#This Row],[Structure Line]],1)-1))</f>
        <v>BIA290</v>
      </c>
      <c r="D123" t="str">
        <f>MID(TableOUINDSGN[[#This Row],[Structure Line]],FIND(" ",TableOUINDSGN[[#This Row],[Structure Line]])+1,256)</f>
        <v>Design Fabrication</v>
      </c>
      <c r="E123" s="59">
        <f>TableOUINDSGN[[#This Row],[Credit Points]]</f>
        <v>25</v>
      </c>
      <c r="F123">
        <v>14</v>
      </c>
      <c r="G123" t="s">
        <v>329</v>
      </c>
      <c r="H123">
        <v>3</v>
      </c>
      <c r="I123" t="s">
        <v>330</v>
      </c>
      <c r="J123" t="s">
        <v>119</v>
      </c>
      <c r="K123" s="72">
        <v>1</v>
      </c>
      <c r="L123" s="72" t="s">
        <v>344</v>
      </c>
      <c r="M123" s="72">
        <v>25</v>
      </c>
      <c r="N123" s="168">
        <v>45292</v>
      </c>
      <c r="O123" s="168" t="s">
        <v>384</v>
      </c>
    </row>
    <row r="124" spans="1:15" x14ac:dyDescent="0.25">
      <c r="A124" t="str">
        <f>TableOUINDSGN[[#This Row],[Study Package Code]]</f>
        <v>INAR3012</v>
      </c>
      <c r="B124" s="2">
        <f>TableOUINDSGN[[#This Row],[Ver]]</f>
        <v>4</v>
      </c>
      <c r="C124" t="str">
        <f>LEFT(TableOUINDSGN[[#This Row],[Structure Line]],(FIND(" ",TableOUINDSGN[[#This Row],[Structure Line]],1)-1))</f>
        <v>BIA300</v>
      </c>
      <c r="D124" t="str">
        <f>MID(TableOUINDSGN[[#This Row],[Structure Line]],FIND(" ",TableOUINDSGN[[#This Row],[Structure Line]])+1,256)</f>
        <v>Interior Architecture Studio - Well-being</v>
      </c>
      <c r="E124" s="59">
        <f>TableOUINDSGN[[#This Row],[Credit Points]]</f>
        <v>25</v>
      </c>
      <c r="F124">
        <v>15</v>
      </c>
      <c r="G124" t="s">
        <v>329</v>
      </c>
      <c r="H124">
        <v>3</v>
      </c>
      <c r="I124" t="s">
        <v>330</v>
      </c>
      <c r="J124" t="s">
        <v>128</v>
      </c>
      <c r="K124" s="72">
        <v>4</v>
      </c>
      <c r="L124" s="72" t="s">
        <v>345</v>
      </c>
      <c r="M124" s="72">
        <v>25</v>
      </c>
      <c r="N124" s="168">
        <v>45383</v>
      </c>
      <c r="O124" s="168" t="s">
        <v>384</v>
      </c>
    </row>
    <row r="125" spans="1:15" x14ac:dyDescent="0.25">
      <c r="A125" t="str">
        <f>TableOUINDSGN[[#This Row],[Study Package Code]]</f>
        <v>INAR3023</v>
      </c>
      <c r="B125" s="2">
        <f>TableOUINDSGN[[#This Row],[Ver]]</f>
        <v>1</v>
      </c>
      <c r="C125" t="str">
        <f>LEFT(TableOUINDSGN[[#This Row],[Structure Line]],(FIND(" ",TableOUINDSGN[[#This Row],[Structure Line]],1)-1))</f>
        <v>BIA305</v>
      </c>
      <c r="D125" t="str">
        <f>MID(TableOUINDSGN[[#This Row],[Structure Line]],FIND(" ",TableOUINDSGN[[#This Row],[Structure Line]])+1,256)</f>
        <v>Interior Architecture Practice 1</v>
      </c>
      <c r="E125" s="59">
        <f>TableOUINDSGN[[#This Row],[Credit Points]]</f>
        <v>25</v>
      </c>
      <c r="F125" s="72">
        <v>16</v>
      </c>
      <c r="G125" s="72" t="s">
        <v>329</v>
      </c>
      <c r="H125" s="72">
        <v>3</v>
      </c>
      <c r="I125" s="72" t="s">
        <v>330</v>
      </c>
      <c r="J125" s="72" t="s">
        <v>132</v>
      </c>
      <c r="K125" s="72">
        <v>1</v>
      </c>
      <c r="L125" s="72" t="s">
        <v>346</v>
      </c>
      <c r="M125" s="72">
        <v>25</v>
      </c>
      <c r="N125" s="168">
        <v>45292</v>
      </c>
      <c r="O125" s="168" t="s">
        <v>384</v>
      </c>
    </row>
    <row r="126" spans="1:15" x14ac:dyDescent="0.25">
      <c r="A126" t="str">
        <f>TableOUINDSGN[[#This Row],[Study Package Code]]</f>
        <v>INAR3025</v>
      </c>
      <c r="B126" s="2">
        <f>TableOUINDSGN[[#This Row],[Ver]]</f>
        <v>1</v>
      </c>
      <c r="C126" t="str">
        <f>LEFT(TableOUINDSGN[[#This Row],[Structure Line]],(FIND(" ",TableOUINDSGN[[#This Row],[Structure Line]],1)-1))</f>
        <v>BIA315</v>
      </c>
      <c r="D126" t="str">
        <f>MID(TableOUINDSGN[[#This Row],[Structure Line]],FIND(" ",TableOUINDSGN[[#This Row],[Structure Line]])+1,256)</f>
        <v>Interior Architecture Practice 2</v>
      </c>
      <c r="E126" s="59">
        <f>TableOUINDSGN[[#This Row],[Credit Points]]</f>
        <v>25</v>
      </c>
      <c r="F126" s="72">
        <v>17</v>
      </c>
      <c r="G126" s="72" t="s">
        <v>329</v>
      </c>
      <c r="H126" s="72">
        <v>3</v>
      </c>
      <c r="I126" s="72" t="s">
        <v>330</v>
      </c>
      <c r="J126" s="72" t="s">
        <v>133</v>
      </c>
      <c r="K126" s="72">
        <v>1</v>
      </c>
      <c r="L126" s="72" t="s">
        <v>347</v>
      </c>
      <c r="M126" s="72">
        <v>25</v>
      </c>
      <c r="N126" s="168">
        <v>45292</v>
      </c>
      <c r="O126" s="168" t="s">
        <v>384</v>
      </c>
    </row>
    <row r="127" spans="1:15" x14ac:dyDescent="0.25">
      <c r="A127" t="str">
        <f>TableOUINDSGN[[#This Row],[Study Package Code]]</f>
        <v>INAR3017</v>
      </c>
      <c r="B127" s="2">
        <f>TableOUINDSGN[[#This Row],[Ver]]</f>
        <v>3</v>
      </c>
      <c r="C127" t="str">
        <f>LEFT(TableOUINDSGN[[#This Row],[Structure Line]],(FIND(" ",TableOUINDSGN[[#This Row],[Structure Line]],1)-1))</f>
        <v>BIA360</v>
      </c>
      <c r="D127" t="str">
        <f>MID(TableOUINDSGN[[#This Row],[Structure Line]],FIND(" ",TableOUINDSGN[[#This Row],[Structure Line]])+1,256)</f>
        <v>Interior Architecture Studio - Workplace</v>
      </c>
      <c r="E127" s="59">
        <f>TableOUINDSGN[[#This Row],[Credit Points]]</f>
        <v>25</v>
      </c>
      <c r="F127">
        <v>18</v>
      </c>
      <c r="G127" t="s">
        <v>329</v>
      </c>
      <c r="H127">
        <v>3</v>
      </c>
      <c r="I127" t="s">
        <v>330</v>
      </c>
      <c r="J127" t="s">
        <v>131</v>
      </c>
      <c r="K127" s="72">
        <v>3</v>
      </c>
      <c r="L127" s="72" t="s">
        <v>348</v>
      </c>
      <c r="M127" s="72">
        <v>25</v>
      </c>
      <c r="N127" s="168">
        <v>45292</v>
      </c>
      <c r="O127" s="168" t="s">
        <v>384</v>
      </c>
    </row>
    <row r="128" spans="1:15" x14ac:dyDescent="0.25">
      <c r="A128" t="str">
        <f>TableOUINDSGN[[#This Row],[Study Package Code]]</f>
        <v>INAR3021</v>
      </c>
      <c r="B128" s="2">
        <f>TableOUINDSGN[[#This Row],[Ver]]</f>
        <v>1</v>
      </c>
      <c r="C128" t="str">
        <f>LEFT(TableOUINDSGN[[#This Row],[Structure Line]],(FIND(" ",TableOUINDSGN[[#This Row],[Structure Line]],1)-1))</f>
        <v>BIA390</v>
      </c>
      <c r="D128" t="str">
        <f>MID(TableOUINDSGN[[#This Row],[Structure Line]],FIND(" ",TableOUINDSGN[[#This Row],[Structure Line]])+1,256)</f>
        <v>Furniture Design</v>
      </c>
      <c r="E128" s="59">
        <f>TableOUINDSGN[[#This Row],[Credit Points]]</f>
        <v>25</v>
      </c>
      <c r="F128">
        <v>19</v>
      </c>
      <c r="G128" t="s">
        <v>329</v>
      </c>
      <c r="H128">
        <v>3</v>
      </c>
      <c r="I128" t="s">
        <v>330</v>
      </c>
      <c r="J128" t="s">
        <v>125</v>
      </c>
      <c r="K128" s="72">
        <v>1</v>
      </c>
      <c r="L128" s="72" t="s">
        <v>349</v>
      </c>
      <c r="M128" s="72">
        <v>25</v>
      </c>
      <c r="N128" s="168">
        <v>45292</v>
      </c>
      <c r="O128" s="168" t="s">
        <v>384</v>
      </c>
    </row>
    <row r="129" spans="1:18" x14ac:dyDescent="0.25">
      <c r="A129" t="str">
        <f>TableOUINDSGN[[#This Row],[Study Package Code]]</f>
        <v>URDE3011</v>
      </c>
      <c r="B129" s="2">
        <f>TableOUINDSGN[[#This Row],[Ver]]</f>
        <v>1</v>
      </c>
      <c r="C129" t="str">
        <f>LEFT(TableOUINDSGN[[#This Row],[Structure Line]],(FIND(" ",TableOUINDSGN[[#This Row],[Structure Line]],1)-1))</f>
        <v>DBE300</v>
      </c>
      <c r="D129" t="str">
        <f>MID(TableOUINDSGN[[#This Row],[Structure Line]],FIND(" ",TableOUINDSGN[[#This Row],[Structure Line]])+1,256)</f>
        <v>Design and Built Environment Research Methods</v>
      </c>
      <c r="E129" s="59">
        <f>TableOUINDSGN[[#This Row],[Credit Points]]</f>
        <v>25</v>
      </c>
      <c r="F129">
        <v>20</v>
      </c>
      <c r="G129" t="s">
        <v>329</v>
      </c>
      <c r="H129">
        <v>3</v>
      </c>
      <c r="I129" t="s">
        <v>330</v>
      </c>
      <c r="J129" t="s">
        <v>113</v>
      </c>
      <c r="K129" s="72">
        <v>1</v>
      </c>
      <c r="L129" s="72" t="s">
        <v>350</v>
      </c>
      <c r="M129" s="72">
        <v>25</v>
      </c>
      <c r="N129" s="168">
        <v>44562</v>
      </c>
      <c r="O129" s="168" t="s">
        <v>384</v>
      </c>
    </row>
    <row r="130" spans="1:18" x14ac:dyDescent="0.25">
      <c r="A130" t="str">
        <f>TableOUINDSGN[[#This Row],[Study Package Code]]</f>
        <v>Specialisation</v>
      </c>
      <c r="B130" s="2">
        <f>TableOUINDSGN[[#This Row],[Ver]]</f>
        <v>0</v>
      </c>
      <c r="D130" t="str">
        <f>TableOUINDSGN[[#This Row],[Structure Line]]</f>
        <v>Choose a Specialisation</v>
      </c>
      <c r="E130" s="59">
        <f>TableOUINDSGN[[#This Row],[Credit Points]]</f>
        <v>100</v>
      </c>
      <c r="F130">
        <v>21</v>
      </c>
      <c r="G130" t="s">
        <v>357</v>
      </c>
      <c r="H130">
        <v>0</v>
      </c>
      <c r="I130" t="s">
        <v>330</v>
      </c>
      <c r="J130" t="s">
        <v>305</v>
      </c>
      <c r="K130" s="72">
        <v>0</v>
      </c>
      <c r="L130" s="72" t="s">
        <v>306</v>
      </c>
      <c r="M130" s="72">
        <v>100</v>
      </c>
      <c r="N130" s="168"/>
      <c r="O130" s="168"/>
    </row>
    <row r="131" spans="1:18" x14ac:dyDescent="0.25">
      <c r="A131" t="str">
        <f>TableOUINDSGN[[#This Row],[Study Package Code]]</f>
        <v>OSCU-ANGAD</v>
      </c>
      <c r="B131" s="2">
        <f>TableOUINDSGN[[#This Row],[Ver]]</f>
        <v>1</v>
      </c>
      <c r="D131" t="str">
        <f>TableOUINDSGN[[#This Row],[Structure Line]]</f>
        <v>Animation and Game Architecture Design Specialisation (OpenUnis)</v>
      </c>
      <c r="E131" s="59">
        <f>TableOUINDSGN[[#This Row],[Credit Points]]</f>
        <v>100</v>
      </c>
      <c r="F131">
        <v>21</v>
      </c>
      <c r="G131" t="s">
        <v>357</v>
      </c>
      <c r="H131">
        <v>0</v>
      </c>
      <c r="I131" t="s">
        <v>330</v>
      </c>
      <c r="J131" t="s">
        <v>117</v>
      </c>
      <c r="K131" s="72">
        <v>1</v>
      </c>
      <c r="L131" s="72" t="s">
        <v>14</v>
      </c>
      <c r="M131" s="72">
        <v>100</v>
      </c>
      <c r="N131" s="168">
        <v>44562</v>
      </c>
      <c r="O131" s="168"/>
    </row>
    <row r="132" spans="1:18" x14ac:dyDescent="0.25">
      <c r="A132" t="str">
        <f>TableOUINDSGN[[#This Row],[Study Package Code]]</f>
        <v>OSCU-CONMS</v>
      </c>
      <c r="B132" s="2">
        <f>TableOUINDSGN[[#This Row],[Ver]]</f>
        <v>1</v>
      </c>
      <c r="D132" t="str">
        <f>TableOUINDSGN[[#This Row],[Structure Line]]</f>
        <v>Construction Management Specialisation (OpenUnis)</v>
      </c>
      <c r="E132" s="59">
        <f>TableOUINDSGN[[#This Row],[Credit Points]]</f>
        <v>100</v>
      </c>
      <c r="F132">
        <v>21</v>
      </c>
      <c r="G132" t="s">
        <v>357</v>
      </c>
      <c r="H132">
        <v>0</v>
      </c>
      <c r="I132" t="s">
        <v>330</v>
      </c>
      <c r="J132" t="s">
        <v>124</v>
      </c>
      <c r="K132" s="72">
        <v>1</v>
      </c>
      <c r="L132" s="72" t="s">
        <v>123</v>
      </c>
      <c r="M132" s="72">
        <v>100</v>
      </c>
      <c r="N132" s="168">
        <v>44378</v>
      </c>
      <c r="O132" s="168"/>
    </row>
    <row r="133" spans="1:18" x14ac:dyDescent="0.25">
      <c r="A133" t="str">
        <f>TableOUINDSGN[[#This Row],[Study Package Code]]</f>
        <v>OSCU-DIGDE</v>
      </c>
      <c r="B133" s="2">
        <f>TableOUINDSGN[[#This Row],[Ver]]</f>
        <v>1</v>
      </c>
      <c r="D133" t="str">
        <f>TableOUINDSGN[[#This Row],[Structure Line]]</f>
        <v>Digital Design Specialisation (OpenUnis)</v>
      </c>
      <c r="E133" s="59">
        <f>TableOUINDSGN[[#This Row],[Credit Points]]</f>
        <v>100</v>
      </c>
      <c r="F133">
        <v>21</v>
      </c>
      <c r="G133" t="s">
        <v>357</v>
      </c>
      <c r="H133">
        <v>0</v>
      </c>
      <c r="I133" t="s">
        <v>330</v>
      </c>
      <c r="J133" t="s">
        <v>127</v>
      </c>
      <c r="K133" s="72">
        <v>1</v>
      </c>
      <c r="L133" s="72" t="s">
        <v>126</v>
      </c>
      <c r="M133" s="72">
        <v>100</v>
      </c>
      <c r="N133" s="168">
        <v>45292</v>
      </c>
      <c r="O133" s="168"/>
    </row>
    <row r="134" spans="1:18" x14ac:dyDescent="0.25">
      <c r="A134" t="str">
        <f>TableOUINDSGN[[#This Row],[Study Package Code]]</f>
        <v>OSCU-PLGEO</v>
      </c>
      <c r="B134" s="2">
        <f>TableOUINDSGN[[#This Row],[Ver]]</f>
        <v>1</v>
      </c>
      <c r="D134" t="str">
        <f>TableOUINDSGN[[#This Row],[Structure Line]]</f>
        <v>Planning and Geography Specialisation (OpenUnis)</v>
      </c>
      <c r="E134" s="59">
        <f>TableOUINDSGN[[#This Row],[Credit Points]]</f>
        <v>100</v>
      </c>
      <c r="F134">
        <v>21</v>
      </c>
      <c r="G134" t="s">
        <v>357</v>
      </c>
      <c r="H134">
        <v>0</v>
      </c>
      <c r="I134" t="s">
        <v>330</v>
      </c>
      <c r="J134" t="s">
        <v>130</v>
      </c>
      <c r="K134" s="72">
        <v>1</v>
      </c>
      <c r="L134" s="72" t="s">
        <v>129</v>
      </c>
      <c r="M134" s="72">
        <v>100</v>
      </c>
      <c r="N134" s="168">
        <v>44743</v>
      </c>
      <c r="O134" s="168"/>
    </row>
    <row r="135" spans="1:18" x14ac:dyDescent="0.25">
      <c r="A135" t="str">
        <f>TableOUINDSGN[[#This Row],[Study Package Code]]</f>
        <v>OSEU-ARCHT</v>
      </c>
      <c r="B135" s="2">
        <f>TableOUINDSGN[[#This Row],[Ver]]</f>
        <v>1</v>
      </c>
      <c r="D135" t="str">
        <f>TableOUINDSGN[[#This Row],[Structure Line]]</f>
        <v>Architectural Technology Specialisation (OpenUnis)</v>
      </c>
      <c r="E135" s="59">
        <f>TableOUINDSGN[[#This Row],[Credit Points]]</f>
        <v>100</v>
      </c>
      <c r="F135">
        <v>21</v>
      </c>
      <c r="G135" t="s">
        <v>357</v>
      </c>
      <c r="H135">
        <v>0</v>
      </c>
      <c r="I135" t="s">
        <v>330</v>
      </c>
      <c r="J135" t="s">
        <v>121</v>
      </c>
      <c r="K135" s="72">
        <v>1</v>
      </c>
      <c r="L135" s="72" t="s">
        <v>120</v>
      </c>
      <c r="M135" s="72">
        <v>100</v>
      </c>
      <c r="N135" s="168">
        <v>45292</v>
      </c>
      <c r="O135" s="168"/>
    </row>
    <row r="136" spans="1:18" x14ac:dyDescent="0.25">
      <c r="B136"/>
      <c r="E136"/>
      <c r="F136" s="55"/>
      <c r="G136" s="56" t="s">
        <v>316</v>
      </c>
      <c r="H136" s="173">
        <v>45292</v>
      </c>
      <c r="I136" s="160"/>
      <c r="J136" s="161" t="s">
        <v>94</v>
      </c>
      <c r="K136" s="171" t="s">
        <v>82</v>
      </c>
      <c r="L136" s="160" t="s">
        <v>38</v>
      </c>
      <c r="M136" s="160"/>
      <c r="N136" s="162" t="s">
        <v>317</v>
      </c>
      <c r="O136" s="163">
        <v>45320</v>
      </c>
    </row>
    <row r="137" spans="1:18" x14ac:dyDescent="0.25">
      <c r="A137" t="s">
        <v>0</v>
      </c>
      <c r="B137" s="2" t="s">
        <v>318</v>
      </c>
      <c r="C137" t="s">
        <v>21</v>
      </c>
      <c r="D137" t="s">
        <v>3</v>
      </c>
      <c r="E137" s="59" t="s">
        <v>319</v>
      </c>
      <c r="F137" t="s">
        <v>320</v>
      </c>
      <c r="G137" t="s">
        <v>321</v>
      </c>
      <c r="H137" t="s">
        <v>322</v>
      </c>
      <c r="I137" t="s">
        <v>22</v>
      </c>
      <c r="J137" t="s">
        <v>323</v>
      </c>
      <c r="K137" t="s">
        <v>1</v>
      </c>
      <c r="L137" t="s">
        <v>324</v>
      </c>
      <c r="M137" t="s">
        <v>77</v>
      </c>
      <c r="N137" t="s">
        <v>325</v>
      </c>
      <c r="O137" t="s">
        <v>326</v>
      </c>
      <c r="Q137" t="s">
        <v>327</v>
      </c>
      <c r="R137" t="s">
        <v>328</v>
      </c>
    </row>
    <row r="138" spans="1:18" x14ac:dyDescent="0.25">
      <c r="A138" t="str">
        <f>TableOBINDSGN[[#This Row],[Study Package Code]]</f>
        <v>COMS1007</v>
      </c>
      <c r="B138" s="2">
        <f>TableOBINDSGN[[#This Row],[Ver]]</f>
        <v>1</v>
      </c>
      <c r="C138" t="str">
        <f>LEFT(TableOBINDSGN[[#This Row],[Structure Line]],(FIND(" ",TableOBINDSGN[[#This Row],[Structure Line]],1)-1))</f>
        <v>APC100</v>
      </c>
      <c r="D138" t="str">
        <f>MID(TableOBINDSGN[[#This Row],[Structure Line]],FIND(" ",TableOBINDSGN[[#This Row],[Structure Line]])+3,256)</f>
        <v>Academic and Professional Communications</v>
      </c>
      <c r="E138" s="59">
        <f>TableOBINDSGN[[#This Row],[Credit Points]]</f>
        <v>25</v>
      </c>
      <c r="F138">
        <v>1</v>
      </c>
      <c r="G138" t="s">
        <v>329</v>
      </c>
      <c r="H138">
        <v>1</v>
      </c>
      <c r="I138" t="s">
        <v>330</v>
      </c>
      <c r="J138" t="s">
        <v>74</v>
      </c>
      <c r="K138" s="72">
        <v>1</v>
      </c>
      <c r="L138" s="72" t="s">
        <v>331</v>
      </c>
      <c r="M138" s="72">
        <v>25</v>
      </c>
      <c r="N138" s="168">
        <v>42005</v>
      </c>
      <c r="O138" s="168" t="s">
        <v>384</v>
      </c>
    </row>
    <row r="139" spans="1:18" x14ac:dyDescent="0.25">
      <c r="A139" t="str">
        <f>TableOBINDSGN[[#This Row],[Study Package Code]]</f>
        <v>ARCH1020</v>
      </c>
      <c r="B139" s="2">
        <f>TableOBINDSGN[[#This Row],[Ver]]</f>
        <v>3</v>
      </c>
      <c r="C139" t="str">
        <f>LEFT(TableOBINDSGN[[#This Row],[Structure Line]],(FIND(" ",TableOBINDSGN[[#This Row],[Structure Line]],1)-1))</f>
        <v>BAS115</v>
      </c>
      <c r="D139" t="str">
        <f>MID(TableOBINDSGN[[#This Row],[Structure Line]],FIND(" ",TableOBINDSGN[[#This Row],[Structure Line]])+1,256)</f>
        <v>Architecture and Interior Architecture Methods 1A - Analogue Literacy</v>
      </c>
      <c r="E139" s="59">
        <f>TableOBINDSGN[[#This Row],[Credit Points]]</f>
        <v>25</v>
      </c>
      <c r="F139">
        <v>2</v>
      </c>
      <c r="G139" t="s">
        <v>329</v>
      </c>
      <c r="H139">
        <v>1</v>
      </c>
      <c r="I139" t="s">
        <v>330</v>
      </c>
      <c r="J139" t="s">
        <v>67</v>
      </c>
      <c r="K139" s="72">
        <v>3</v>
      </c>
      <c r="L139" s="72" t="s">
        <v>332</v>
      </c>
      <c r="M139" s="72">
        <v>25</v>
      </c>
      <c r="N139" s="168">
        <v>44562</v>
      </c>
      <c r="O139" s="168" t="s">
        <v>384</v>
      </c>
    </row>
    <row r="140" spans="1:18" x14ac:dyDescent="0.25">
      <c r="A140" t="str">
        <f>TableOBINDSGN[[#This Row],[Study Package Code]]</f>
        <v>ARCH1024</v>
      </c>
      <c r="B140" s="2">
        <f>TableOBINDSGN[[#This Row],[Ver]]</f>
        <v>3</v>
      </c>
      <c r="C140" t="str">
        <f>LEFT(TableOBINDSGN[[#This Row],[Structure Line]],(FIND(" ",TableOBINDSGN[[#This Row],[Structure Line]],1)-1))</f>
        <v>BAS140</v>
      </c>
      <c r="D140" t="str">
        <f>MID(TableOBINDSGN[[#This Row],[Structure Line]],FIND(" ",TableOBINDSGN[[#This Row],[Structure Line]])+1,256)</f>
        <v>Architecture and Interior Architecture Design Studio 1 - Small Structures</v>
      </c>
      <c r="E140" s="59">
        <f>TableOBINDSGN[[#This Row],[Credit Points]]</f>
        <v>25</v>
      </c>
      <c r="F140">
        <v>3</v>
      </c>
      <c r="G140" t="s">
        <v>329</v>
      </c>
      <c r="H140">
        <v>1</v>
      </c>
      <c r="I140" t="s">
        <v>330</v>
      </c>
      <c r="J140" t="s">
        <v>88</v>
      </c>
      <c r="K140" s="72">
        <v>3</v>
      </c>
      <c r="L140" s="72" t="s">
        <v>333</v>
      </c>
      <c r="M140" s="72">
        <v>25</v>
      </c>
      <c r="N140" s="168">
        <v>44562</v>
      </c>
      <c r="O140" s="168" t="s">
        <v>384</v>
      </c>
    </row>
    <row r="141" spans="1:18" x14ac:dyDescent="0.25">
      <c r="A141" t="str">
        <f>TableOBINDSGN[[#This Row],[Study Package Code]]</f>
        <v>ARCH1021</v>
      </c>
      <c r="B141" s="2">
        <f>TableOBINDSGN[[#This Row],[Ver]]</f>
        <v>3</v>
      </c>
      <c r="C141" t="str">
        <f>LEFT(TableOBINDSGN[[#This Row],[Structure Line]],(FIND(" ",TableOBINDSGN[[#This Row],[Structure Line]],1)-1))</f>
        <v>BAS145</v>
      </c>
      <c r="D141" t="str">
        <f>MID(TableOBINDSGN[[#This Row],[Structure Line]],FIND(" ",TableOBINDSGN[[#This Row],[Structure Line]])+1,256)</f>
        <v>Architecture and Interior Architecture Methods 1B - Digital Literacy</v>
      </c>
      <c r="E141" s="59">
        <f>TableOBINDSGN[[#This Row],[Credit Points]]</f>
        <v>25</v>
      </c>
      <c r="F141" s="72">
        <v>4</v>
      </c>
      <c r="G141" s="72" t="s">
        <v>329</v>
      </c>
      <c r="H141" s="72">
        <v>1</v>
      </c>
      <c r="I141" s="72" t="s">
        <v>330</v>
      </c>
      <c r="J141" s="72" t="s">
        <v>71</v>
      </c>
      <c r="K141" s="72">
        <v>3</v>
      </c>
      <c r="L141" s="72" t="s">
        <v>334</v>
      </c>
      <c r="M141" s="72">
        <v>25</v>
      </c>
      <c r="N141" s="168">
        <v>44562</v>
      </c>
      <c r="O141" s="168" t="s">
        <v>384</v>
      </c>
    </row>
    <row r="142" spans="1:18" x14ac:dyDescent="0.25">
      <c r="A142" t="str">
        <f>TableOBINDSGN[[#This Row],[Study Package Code]]</f>
        <v>INAR1011</v>
      </c>
      <c r="B142" s="2">
        <f>TableOBINDSGN[[#This Row],[Ver]]</f>
        <v>4</v>
      </c>
      <c r="C142" t="str">
        <f>LEFT(TableOBINDSGN[[#This Row],[Structure Line]],(FIND(" ",TableOBINDSGN[[#This Row],[Structure Line]],1)-1))</f>
        <v>BIA140</v>
      </c>
      <c r="D142" t="str">
        <f>MID(TableOBINDSGN[[#This Row],[Structure Line]],FIND(" ",TableOBINDSGN[[#This Row],[Structure Line]])+1,256)</f>
        <v>Interior Architecture Studio - Foundation</v>
      </c>
      <c r="E142" s="59">
        <f>TableOBINDSGN[[#This Row],[Credit Points]]</f>
        <v>25</v>
      </c>
      <c r="F142">
        <v>5</v>
      </c>
      <c r="G142" t="s">
        <v>329</v>
      </c>
      <c r="H142">
        <v>1</v>
      </c>
      <c r="I142" t="s">
        <v>330</v>
      </c>
      <c r="J142" t="s">
        <v>73</v>
      </c>
      <c r="K142" s="72">
        <v>4</v>
      </c>
      <c r="L142" s="72" t="s">
        <v>335</v>
      </c>
      <c r="M142" s="72">
        <v>25</v>
      </c>
      <c r="N142" s="168">
        <v>45292</v>
      </c>
      <c r="O142" s="168" t="s">
        <v>384</v>
      </c>
    </row>
    <row r="143" spans="1:18" x14ac:dyDescent="0.25">
      <c r="A143" t="str">
        <f>TableOBINDSGN[[#This Row],[Study Package Code]]</f>
        <v>INAR1015</v>
      </c>
      <c r="B143" s="2">
        <f>TableOBINDSGN[[#This Row],[Ver]]</f>
        <v>1</v>
      </c>
      <c r="C143" t="str">
        <f>LEFT(TableOBINDSGN[[#This Row],[Structure Line]],(FIND(" ",TableOBINDSGN[[#This Row],[Structure Line]],1)-1))</f>
        <v>BIA170</v>
      </c>
      <c r="D143" t="str">
        <f>MID(TableOBINDSGN[[#This Row],[Structure Line]],FIND(" ",TableOBINDSGN[[#This Row],[Structure Line]])+1,256)</f>
        <v>History of the Interior</v>
      </c>
      <c r="E143" s="59">
        <f>TableOBINDSGN[[#This Row],[Credit Points]]</f>
        <v>25</v>
      </c>
      <c r="F143" s="72">
        <v>6</v>
      </c>
      <c r="G143" s="72" t="s">
        <v>329</v>
      </c>
      <c r="H143" s="72">
        <v>1</v>
      </c>
      <c r="I143" s="72" t="s">
        <v>330</v>
      </c>
      <c r="J143" s="72" t="s">
        <v>87</v>
      </c>
      <c r="K143" s="72">
        <v>1</v>
      </c>
      <c r="L143" s="72" t="s">
        <v>336</v>
      </c>
      <c r="M143" s="72">
        <v>25</v>
      </c>
      <c r="N143" s="168">
        <v>43101</v>
      </c>
      <c r="O143" s="168" t="s">
        <v>384</v>
      </c>
    </row>
    <row r="144" spans="1:18" x14ac:dyDescent="0.25">
      <c r="A144" t="str">
        <f>TableOBINDSGN[[#This Row],[Study Package Code]]</f>
        <v>ARCH2029</v>
      </c>
      <c r="B144" s="2">
        <f>TableOBINDSGN[[#This Row],[Ver]]</f>
        <v>3</v>
      </c>
      <c r="C144" t="str">
        <f>LEFT(TableOBINDSGN[[#This Row],[Structure Line]],(FIND(" ",TableOBINDSGN[[#This Row],[Structure Line]],1)-1))</f>
        <v>BAS200</v>
      </c>
      <c r="D144" t="str">
        <f>MID(TableOBINDSGN[[#This Row],[Structure Line]],FIND(" ",TableOBINDSGN[[#This Row],[Structure Line]])+1,256)</f>
        <v>Architecture and Interior Architecture Design Studio 2A - Residential Typology and Grammar</v>
      </c>
      <c r="E144" s="59">
        <f>TableOBINDSGN[[#This Row],[Credit Points]]</f>
        <v>25</v>
      </c>
      <c r="F144">
        <v>7</v>
      </c>
      <c r="G144" t="s">
        <v>329</v>
      </c>
      <c r="H144">
        <v>2</v>
      </c>
      <c r="I144" t="s">
        <v>330</v>
      </c>
      <c r="J144" t="s">
        <v>105</v>
      </c>
      <c r="K144" s="72">
        <v>3</v>
      </c>
      <c r="L144" s="72" t="s">
        <v>337</v>
      </c>
      <c r="M144" s="72">
        <v>25</v>
      </c>
      <c r="N144" s="168">
        <v>44562</v>
      </c>
      <c r="O144" s="168" t="s">
        <v>384</v>
      </c>
    </row>
    <row r="145" spans="1:15" x14ac:dyDescent="0.25">
      <c r="A145" t="str">
        <f>TableOBINDSGN[[#This Row],[Study Package Code]]</f>
        <v>ARCH2027</v>
      </c>
      <c r="B145" s="2">
        <f>TableOBINDSGN[[#This Row],[Ver]]</f>
        <v>3</v>
      </c>
      <c r="C145" t="str">
        <f>LEFT(TableOBINDSGN[[#This Row],[Structure Line]],(FIND(" ",TableOBINDSGN[[#This Row],[Structure Line]],1)-1))</f>
        <v>BAS235</v>
      </c>
      <c r="D145" t="str">
        <f>MID(TableOBINDSGN[[#This Row],[Structure Line]],FIND(" ",TableOBINDSGN[[#This Row],[Structure Line]])+1,256)</f>
        <v>Architecture Methods 2B - Information Visualisation</v>
      </c>
      <c r="E145" s="59">
        <f>TableOBINDSGN[[#This Row],[Credit Points]]</f>
        <v>25</v>
      </c>
      <c r="F145">
        <v>8</v>
      </c>
      <c r="G145" t="s">
        <v>329</v>
      </c>
      <c r="H145">
        <v>2</v>
      </c>
      <c r="I145" t="s">
        <v>330</v>
      </c>
      <c r="J145" t="s">
        <v>107</v>
      </c>
      <c r="K145" s="72">
        <v>3</v>
      </c>
      <c r="L145" s="72" t="s">
        <v>338</v>
      </c>
      <c r="M145" s="72">
        <v>25</v>
      </c>
      <c r="N145" s="168">
        <v>44562</v>
      </c>
      <c r="O145" s="168" t="s">
        <v>384</v>
      </c>
    </row>
    <row r="146" spans="1:15" x14ac:dyDescent="0.25">
      <c r="A146" t="str">
        <f>TableOBINDSGN[[#This Row],[Study Package Code]]</f>
        <v>INAR2020</v>
      </c>
      <c r="B146" s="2">
        <f>TableOBINDSGN[[#This Row],[Ver]]</f>
        <v>2</v>
      </c>
      <c r="C146" t="str">
        <f>LEFT(TableOBINDSGN[[#This Row],[Structure Line]],(FIND(" ",TableOBINDSGN[[#This Row],[Structure Line]],1)-1))</f>
        <v>BIA200</v>
      </c>
      <c r="D146" t="str">
        <f>MID(TableOBINDSGN[[#This Row],[Structure Line]],FIND(" ",TableOBINDSGN[[#This Row],[Structure Line]])+1,256)</f>
        <v>Interior Architecture Fundamentals</v>
      </c>
      <c r="E146" s="59">
        <f>TableOBINDSGN[[#This Row],[Credit Points]]</f>
        <v>25</v>
      </c>
      <c r="F146">
        <v>9</v>
      </c>
      <c r="G146" t="s">
        <v>329</v>
      </c>
      <c r="H146">
        <v>2</v>
      </c>
      <c r="I146" t="s">
        <v>330</v>
      </c>
      <c r="J146" t="s">
        <v>92</v>
      </c>
      <c r="K146" s="72">
        <v>2</v>
      </c>
      <c r="L146" s="72" t="s">
        <v>339</v>
      </c>
      <c r="M146" s="72">
        <v>25</v>
      </c>
      <c r="N146" s="168">
        <v>45292</v>
      </c>
      <c r="O146" s="168" t="s">
        <v>384</v>
      </c>
    </row>
    <row r="147" spans="1:15" x14ac:dyDescent="0.25">
      <c r="A147" t="str">
        <f>TableOBINDSGN[[#This Row],[Study Package Code]]</f>
        <v>INAR2015</v>
      </c>
      <c r="B147" s="2">
        <f>TableOBINDSGN[[#This Row],[Ver]]</f>
        <v>4</v>
      </c>
      <c r="C147" t="str">
        <f>LEFT(TableOBINDSGN[[#This Row],[Structure Line]],(FIND(" ",TableOBINDSGN[[#This Row],[Structure Line]],1)-1))</f>
        <v>BIA250</v>
      </c>
      <c r="D147" t="str">
        <f>MID(TableOBINDSGN[[#This Row],[Structure Line]],FIND(" ",TableOBINDSGN[[#This Row],[Structure Line]])+1,256)</f>
        <v>Interior Architecture Studio – Community</v>
      </c>
      <c r="E147" s="59">
        <f>TableOBINDSGN[[#This Row],[Credit Points]]</f>
        <v>25</v>
      </c>
      <c r="F147">
        <v>10</v>
      </c>
      <c r="G147" t="s">
        <v>329</v>
      </c>
      <c r="H147">
        <v>2</v>
      </c>
      <c r="I147" t="s">
        <v>330</v>
      </c>
      <c r="J147" t="s">
        <v>100</v>
      </c>
      <c r="K147" s="72">
        <v>4</v>
      </c>
      <c r="L147" s="72" t="s">
        <v>340</v>
      </c>
      <c r="M147" s="72">
        <v>25</v>
      </c>
      <c r="N147" s="168">
        <v>45292</v>
      </c>
      <c r="O147" s="168" t="s">
        <v>384</v>
      </c>
    </row>
    <row r="148" spans="1:15" x14ac:dyDescent="0.25">
      <c r="A148" t="str">
        <f>TableOBINDSGN[[#This Row],[Study Package Code]]</f>
        <v>INAR2023</v>
      </c>
      <c r="B148" s="2">
        <f>TableOBINDSGN[[#This Row],[Ver]]</f>
        <v>1</v>
      </c>
      <c r="C148" t="str">
        <f>LEFT(TableOBINDSGN[[#This Row],[Structure Line]],(FIND(" ",TableOBINDSGN[[#This Row],[Structure Line]],1)-1))</f>
        <v>BIA280</v>
      </c>
      <c r="D148" t="str">
        <f>MID(TableOBINDSGN[[#This Row],[Structure Line]],FIND(" ",TableOBINDSGN[[#This Row],[Structure Line]])+1,256)</f>
        <v>Philosophy and Practice</v>
      </c>
      <c r="E148" s="59">
        <f>TableOBINDSGN[[#This Row],[Credit Points]]</f>
        <v>25</v>
      </c>
      <c r="F148">
        <v>11</v>
      </c>
      <c r="G148" t="s">
        <v>329</v>
      </c>
      <c r="H148">
        <v>2</v>
      </c>
      <c r="I148" t="s">
        <v>330</v>
      </c>
      <c r="J148" t="s">
        <v>93</v>
      </c>
      <c r="K148" s="72">
        <v>1</v>
      </c>
      <c r="L148" s="72" t="s">
        <v>341</v>
      </c>
      <c r="M148" s="72">
        <v>25</v>
      </c>
      <c r="N148" s="168">
        <v>44562</v>
      </c>
      <c r="O148" s="168" t="s">
        <v>384</v>
      </c>
    </row>
    <row r="149" spans="1:15" x14ac:dyDescent="0.25">
      <c r="A149" t="str">
        <f>TableOBINDSGN[[#This Row],[Study Package Code]]</f>
        <v>GRDE2045</v>
      </c>
      <c r="B149" s="2">
        <f>TableOBINDSGN[[#This Row],[Ver]]</f>
        <v>1</v>
      </c>
      <c r="C149" t="str">
        <f>LEFT(TableOBINDSGN[[#This Row],[Structure Line]],(FIND(" ",TableOBINDSGN[[#This Row],[Structure Line]],1)-1))</f>
        <v>DSN200</v>
      </c>
      <c r="D149" t="str">
        <f>MID(TableOBINDSGN[[#This Row],[Structure Line]],FIND(" ",TableOBINDSGN[[#This Row],[Structure Line]])+1,256)</f>
        <v>3D Modelling and Digital Fabrication</v>
      </c>
      <c r="E149" s="59">
        <f>TableOBINDSGN[[#This Row],[Credit Points]]</f>
        <v>25</v>
      </c>
      <c r="F149" s="72">
        <v>12</v>
      </c>
      <c r="G149" s="72" t="s">
        <v>329</v>
      </c>
      <c r="H149" s="72">
        <v>2</v>
      </c>
      <c r="I149" s="72" t="s">
        <v>330</v>
      </c>
      <c r="J149" s="72" t="s">
        <v>109</v>
      </c>
      <c r="K149" s="72">
        <v>1</v>
      </c>
      <c r="L149" s="72" t="s">
        <v>342</v>
      </c>
      <c r="M149" s="72">
        <v>25</v>
      </c>
      <c r="N149" s="168">
        <v>45292</v>
      </c>
      <c r="O149" s="168" t="s">
        <v>384</v>
      </c>
    </row>
    <row r="150" spans="1:15" x14ac:dyDescent="0.25">
      <c r="A150" t="str">
        <f>TableOBINDSGN[[#This Row],[Study Package Code]]</f>
        <v>ARCH3015</v>
      </c>
      <c r="B150" s="2">
        <f>TableOBINDSGN[[#This Row],[Ver]]</f>
        <v>4</v>
      </c>
      <c r="C150" t="str">
        <f>LEFT(TableOBINDSGN[[#This Row],[Structure Line]],(FIND(" ",TableOBINDSGN[[#This Row],[Structure Line]],1)-1))</f>
        <v>BAS310</v>
      </c>
      <c r="D150" t="str">
        <f>MID(TableOBINDSGN[[#This Row],[Structure Line]],FIND(" ",TableOBINDSGN[[#This Row],[Structure Line]])+1,256)</f>
        <v>Environmental and Building Systems in Architecture</v>
      </c>
      <c r="E150" s="59">
        <f>TableOBINDSGN[[#This Row],[Credit Points]]</f>
        <v>25</v>
      </c>
      <c r="F150">
        <v>13</v>
      </c>
      <c r="G150" t="s">
        <v>329</v>
      </c>
      <c r="H150">
        <v>3</v>
      </c>
      <c r="I150" t="s">
        <v>330</v>
      </c>
      <c r="J150" t="s">
        <v>122</v>
      </c>
      <c r="K150" s="72">
        <v>4</v>
      </c>
      <c r="L150" s="72" t="s">
        <v>343</v>
      </c>
      <c r="M150" s="72">
        <v>25</v>
      </c>
      <c r="N150" s="168">
        <v>44562</v>
      </c>
      <c r="O150" s="168" t="s">
        <v>384</v>
      </c>
    </row>
    <row r="151" spans="1:15" x14ac:dyDescent="0.25">
      <c r="A151" t="str">
        <f>TableOBINDSGN[[#This Row],[Study Package Code]]</f>
        <v>INAR2025</v>
      </c>
      <c r="B151" s="2">
        <f>TableOBINDSGN[[#This Row],[Ver]]</f>
        <v>1</v>
      </c>
      <c r="C151" t="str">
        <f>LEFT(TableOBINDSGN[[#This Row],[Structure Line]],(FIND(" ",TableOBINDSGN[[#This Row],[Structure Line]],1)-1))</f>
        <v>BIA290</v>
      </c>
      <c r="D151" t="str">
        <f>MID(TableOBINDSGN[[#This Row],[Structure Line]],FIND(" ",TableOBINDSGN[[#This Row],[Structure Line]])+1,256)</f>
        <v>Design Fabrication</v>
      </c>
      <c r="E151" s="59">
        <f>TableOBINDSGN[[#This Row],[Credit Points]]</f>
        <v>25</v>
      </c>
      <c r="F151">
        <v>14</v>
      </c>
      <c r="G151" t="s">
        <v>329</v>
      </c>
      <c r="H151">
        <v>3</v>
      </c>
      <c r="I151" t="s">
        <v>330</v>
      </c>
      <c r="J151" t="s">
        <v>119</v>
      </c>
      <c r="K151" s="72">
        <v>1</v>
      </c>
      <c r="L151" s="72" t="s">
        <v>344</v>
      </c>
      <c r="M151" s="72">
        <v>25</v>
      </c>
      <c r="N151" s="168">
        <v>45292</v>
      </c>
      <c r="O151" s="168" t="s">
        <v>384</v>
      </c>
    </row>
    <row r="152" spans="1:15" x14ac:dyDescent="0.25">
      <c r="A152" t="str">
        <f>TableOBINDSGN[[#This Row],[Study Package Code]]</f>
        <v>INAR3012</v>
      </c>
      <c r="B152" s="2">
        <f>TableOBINDSGN[[#This Row],[Ver]]</f>
        <v>4</v>
      </c>
      <c r="C152" t="str">
        <f>LEFT(TableOBINDSGN[[#This Row],[Structure Line]],(FIND(" ",TableOBINDSGN[[#This Row],[Structure Line]],1)-1))</f>
        <v>BIA300</v>
      </c>
      <c r="D152" t="str">
        <f>MID(TableOBINDSGN[[#This Row],[Structure Line]],FIND(" ",TableOBINDSGN[[#This Row],[Structure Line]])+1,256)</f>
        <v>Interior Architecture Studio - Well-being</v>
      </c>
      <c r="E152" s="59">
        <f>TableOBINDSGN[[#This Row],[Credit Points]]</f>
        <v>25</v>
      </c>
      <c r="F152">
        <v>15</v>
      </c>
      <c r="G152" t="s">
        <v>329</v>
      </c>
      <c r="H152">
        <v>3</v>
      </c>
      <c r="I152" t="s">
        <v>330</v>
      </c>
      <c r="J152" t="s">
        <v>128</v>
      </c>
      <c r="K152" s="72">
        <v>4</v>
      </c>
      <c r="L152" s="72" t="s">
        <v>345</v>
      </c>
      <c r="M152" s="72">
        <v>25</v>
      </c>
      <c r="N152" s="168">
        <v>45383</v>
      </c>
      <c r="O152" s="168" t="s">
        <v>384</v>
      </c>
    </row>
    <row r="153" spans="1:15" x14ac:dyDescent="0.25">
      <c r="A153" t="str">
        <f>TableOBINDSGN[[#This Row],[Study Package Code]]</f>
        <v>INAR3023</v>
      </c>
      <c r="B153" s="2">
        <f>TableOBINDSGN[[#This Row],[Ver]]</f>
        <v>1</v>
      </c>
      <c r="C153" t="str">
        <f>LEFT(TableOBINDSGN[[#This Row],[Structure Line]],(FIND(" ",TableOBINDSGN[[#This Row],[Structure Line]],1)-1))</f>
        <v>BIA305</v>
      </c>
      <c r="D153" t="str">
        <f>MID(TableOBINDSGN[[#This Row],[Structure Line]],FIND(" ",TableOBINDSGN[[#This Row],[Structure Line]])+1,256)</f>
        <v>Interior Architecture Practice 1</v>
      </c>
      <c r="E153" s="59">
        <f>TableOBINDSGN[[#This Row],[Credit Points]]</f>
        <v>25</v>
      </c>
      <c r="F153" s="72">
        <v>16</v>
      </c>
      <c r="G153" s="72" t="s">
        <v>329</v>
      </c>
      <c r="H153" s="72">
        <v>3</v>
      </c>
      <c r="I153" s="72" t="s">
        <v>330</v>
      </c>
      <c r="J153" s="72" t="s">
        <v>132</v>
      </c>
      <c r="K153" s="72">
        <v>1</v>
      </c>
      <c r="L153" s="72" t="s">
        <v>346</v>
      </c>
      <c r="M153" s="72">
        <v>25</v>
      </c>
      <c r="N153" s="168">
        <v>45292</v>
      </c>
      <c r="O153" s="168" t="s">
        <v>384</v>
      </c>
    </row>
    <row r="154" spans="1:15" x14ac:dyDescent="0.25">
      <c r="A154" t="str">
        <f>TableOBINDSGN[[#This Row],[Study Package Code]]</f>
        <v>INAR3025</v>
      </c>
      <c r="B154" s="2">
        <f>TableOBINDSGN[[#This Row],[Ver]]</f>
        <v>1</v>
      </c>
      <c r="C154" t="str">
        <f>LEFT(TableOBINDSGN[[#This Row],[Structure Line]],(FIND(" ",TableOBINDSGN[[#This Row],[Structure Line]],1)-1))</f>
        <v>BIA315</v>
      </c>
      <c r="D154" t="str">
        <f>MID(TableOBINDSGN[[#This Row],[Structure Line]],FIND(" ",TableOBINDSGN[[#This Row],[Structure Line]])+1,256)</f>
        <v>Interior Architecture Practice 2</v>
      </c>
      <c r="E154" s="59">
        <f>TableOBINDSGN[[#This Row],[Credit Points]]</f>
        <v>25</v>
      </c>
      <c r="F154" s="72">
        <v>17</v>
      </c>
      <c r="G154" s="72" t="s">
        <v>329</v>
      </c>
      <c r="H154" s="72">
        <v>3</v>
      </c>
      <c r="I154" s="72" t="s">
        <v>330</v>
      </c>
      <c r="J154" s="72" t="s">
        <v>133</v>
      </c>
      <c r="K154" s="72">
        <v>1</v>
      </c>
      <c r="L154" s="72" t="s">
        <v>347</v>
      </c>
      <c r="M154" s="72">
        <v>25</v>
      </c>
      <c r="N154" s="168">
        <v>45292</v>
      </c>
      <c r="O154" s="168" t="s">
        <v>384</v>
      </c>
    </row>
    <row r="155" spans="1:15" x14ac:dyDescent="0.25">
      <c r="A155" t="str">
        <f>TableOBINDSGN[[#This Row],[Study Package Code]]</f>
        <v>INAR3017</v>
      </c>
      <c r="B155" s="2">
        <f>TableOBINDSGN[[#This Row],[Ver]]</f>
        <v>3</v>
      </c>
      <c r="C155" t="str">
        <f>LEFT(TableOBINDSGN[[#This Row],[Structure Line]],(FIND(" ",TableOBINDSGN[[#This Row],[Structure Line]],1)-1))</f>
        <v>BIA360</v>
      </c>
      <c r="D155" t="str">
        <f>MID(TableOBINDSGN[[#This Row],[Structure Line]],FIND(" ",TableOBINDSGN[[#This Row],[Structure Line]])+1,256)</f>
        <v>Interior Architecture Studio - Workplace</v>
      </c>
      <c r="E155" s="59">
        <f>TableOBINDSGN[[#This Row],[Credit Points]]</f>
        <v>25</v>
      </c>
      <c r="F155">
        <v>18</v>
      </c>
      <c r="G155" t="s">
        <v>329</v>
      </c>
      <c r="H155">
        <v>3</v>
      </c>
      <c r="I155" t="s">
        <v>330</v>
      </c>
      <c r="J155" t="s">
        <v>131</v>
      </c>
      <c r="K155" s="72">
        <v>3</v>
      </c>
      <c r="L155" s="72" t="s">
        <v>348</v>
      </c>
      <c r="M155" s="72">
        <v>25</v>
      </c>
      <c r="N155" s="168">
        <v>45292</v>
      </c>
      <c r="O155" s="168" t="s">
        <v>384</v>
      </c>
    </row>
    <row r="156" spans="1:15" x14ac:dyDescent="0.25">
      <c r="A156" t="str">
        <f>TableOBINDSGN[[#This Row],[Study Package Code]]</f>
        <v>INAR3021</v>
      </c>
      <c r="B156" s="2">
        <f>TableOBINDSGN[[#This Row],[Ver]]</f>
        <v>1</v>
      </c>
      <c r="C156" t="str">
        <f>LEFT(TableOBINDSGN[[#This Row],[Structure Line]],(FIND(" ",TableOBINDSGN[[#This Row],[Structure Line]],1)-1))</f>
        <v>BIA390</v>
      </c>
      <c r="D156" t="str">
        <f>MID(TableOBINDSGN[[#This Row],[Structure Line]],FIND(" ",TableOBINDSGN[[#This Row],[Structure Line]])+1,256)</f>
        <v>Furniture Design</v>
      </c>
      <c r="E156" s="59">
        <f>TableOBINDSGN[[#This Row],[Credit Points]]</f>
        <v>25</v>
      </c>
      <c r="F156">
        <v>19</v>
      </c>
      <c r="G156" t="s">
        <v>329</v>
      </c>
      <c r="H156">
        <v>3</v>
      </c>
      <c r="I156" t="s">
        <v>330</v>
      </c>
      <c r="J156" t="s">
        <v>125</v>
      </c>
      <c r="K156" s="72">
        <v>1</v>
      </c>
      <c r="L156" s="72" t="s">
        <v>349</v>
      </c>
      <c r="M156" s="72">
        <v>25</v>
      </c>
      <c r="N156" s="168">
        <v>45292</v>
      </c>
      <c r="O156" s="168" t="s">
        <v>384</v>
      </c>
    </row>
    <row r="157" spans="1:15" x14ac:dyDescent="0.25">
      <c r="A157" t="str">
        <f>TableOBINDSGN[[#This Row],[Study Package Code]]</f>
        <v>URDE3011</v>
      </c>
      <c r="B157" s="2">
        <f>TableOBINDSGN[[#This Row],[Ver]]</f>
        <v>1</v>
      </c>
      <c r="C157" t="str">
        <f>LEFT(TableOBINDSGN[[#This Row],[Structure Line]],(FIND(" ",TableOBINDSGN[[#This Row],[Structure Line]],1)-1))</f>
        <v>DBE300</v>
      </c>
      <c r="D157" t="str">
        <f>MID(TableOBINDSGN[[#This Row],[Structure Line]],FIND(" ",TableOBINDSGN[[#This Row],[Structure Line]])+1,256)</f>
        <v>Design and Built Environment Research Methods</v>
      </c>
      <c r="E157" s="59">
        <f>TableOBINDSGN[[#This Row],[Credit Points]]</f>
        <v>25</v>
      </c>
      <c r="F157">
        <v>20</v>
      </c>
      <c r="G157" t="s">
        <v>329</v>
      </c>
      <c r="H157">
        <v>3</v>
      </c>
      <c r="I157" t="s">
        <v>330</v>
      </c>
      <c r="J157" t="s">
        <v>113</v>
      </c>
      <c r="K157" s="72">
        <v>1</v>
      </c>
      <c r="L157" s="72" t="s">
        <v>350</v>
      </c>
      <c r="M157" s="72">
        <v>25</v>
      </c>
      <c r="N157" s="168">
        <v>44562</v>
      </c>
      <c r="O157" s="168" t="s">
        <v>384</v>
      </c>
    </row>
    <row r="158" spans="1:15" x14ac:dyDescent="0.25">
      <c r="A158" t="str">
        <f>TableOBINDSGN[[#This Row],[Study Package Code]]</f>
        <v>Specialisation</v>
      </c>
      <c r="B158" s="2">
        <f>TableOBINDSGN[[#This Row],[Ver]]</f>
        <v>0</v>
      </c>
      <c r="D158" t="str">
        <f>TableOBINDSGN[[#This Row],[Structure Line]]</f>
        <v>Choose a Specialisation</v>
      </c>
      <c r="E158" s="59">
        <f>TableOBINDSGN[[#This Row],[Credit Points]]</f>
        <v>100</v>
      </c>
      <c r="F158">
        <v>21</v>
      </c>
      <c r="G158" t="s">
        <v>357</v>
      </c>
      <c r="H158">
        <v>0</v>
      </c>
      <c r="I158" t="s">
        <v>330</v>
      </c>
      <c r="J158" t="s">
        <v>305</v>
      </c>
      <c r="K158" s="72">
        <v>0</v>
      </c>
      <c r="L158" s="72" t="s">
        <v>306</v>
      </c>
      <c r="M158" s="72">
        <v>100</v>
      </c>
      <c r="N158" s="168"/>
      <c r="O158" s="168"/>
    </row>
    <row r="159" spans="1:15" x14ac:dyDescent="0.25">
      <c r="A159" t="str">
        <f>TableOBINDSGN[[#This Row],[Study Package Code]]</f>
        <v>OSCU-ANGAD</v>
      </c>
      <c r="B159" s="2">
        <f>TableOBINDSGN[[#This Row],[Ver]]</f>
        <v>1</v>
      </c>
      <c r="D159" t="str">
        <f>TableOBINDSGN[[#This Row],[Structure Line]]</f>
        <v>Animation and Game Architecture Design Specialisation (OpenUnis)</v>
      </c>
      <c r="E159" s="59">
        <f>TableOBINDSGN[[#This Row],[Credit Points]]</f>
        <v>100</v>
      </c>
      <c r="F159">
        <v>21</v>
      </c>
      <c r="G159" t="s">
        <v>357</v>
      </c>
      <c r="H159">
        <v>0</v>
      </c>
      <c r="I159" t="s">
        <v>330</v>
      </c>
      <c r="J159" t="s">
        <v>117</v>
      </c>
      <c r="K159" s="72">
        <v>1</v>
      </c>
      <c r="L159" s="72" t="s">
        <v>14</v>
      </c>
      <c r="M159" s="72">
        <v>100</v>
      </c>
      <c r="N159" s="168">
        <v>44562</v>
      </c>
      <c r="O159" s="168"/>
    </row>
    <row r="160" spans="1:15" x14ac:dyDescent="0.25">
      <c r="A160" t="str">
        <f>TableOBINDSGN[[#This Row],[Study Package Code]]</f>
        <v>OSCU-CONMS</v>
      </c>
      <c r="B160" s="2">
        <f>TableOBINDSGN[[#This Row],[Ver]]</f>
        <v>1</v>
      </c>
      <c r="D160" t="str">
        <f>TableOBINDSGN[[#This Row],[Structure Line]]</f>
        <v>Construction Management Specialisation (OpenUnis)</v>
      </c>
      <c r="E160" s="59">
        <f>TableOBINDSGN[[#This Row],[Credit Points]]</f>
        <v>100</v>
      </c>
      <c r="F160">
        <v>21</v>
      </c>
      <c r="G160" t="s">
        <v>357</v>
      </c>
      <c r="H160">
        <v>0</v>
      </c>
      <c r="I160" t="s">
        <v>330</v>
      </c>
      <c r="J160" t="s">
        <v>124</v>
      </c>
      <c r="K160" s="72">
        <v>1</v>
      </c>
      <c r="L160" s="72" t="s">
        <v>123</v>
      </c>
      <c r="M160" s="72">
        <v>100</v>
      </c>
      <c r="N160" s="168">
        <v>44378</v>
      </c>
      <c r="O160" s="168"/>
    </row>
    <row r="161" spans="1:15" x14ac:dyDescent="0.25">
      <c r="A161" t="str">
        <f>TableOBINDSGN[[#This Row],[Study Package Code]]</f>
        <v>OSCU-DIGDE</v>
      </c>
      <c r="B161" s="2">
        <f>TableOBINDSGN[[#This Row],[Ver]]</f>
        <v>1</v>
      </c>
      <c r="D161" t="str">
        <f>TableOBINDSGN[[#This Row],[Structure Line]]</f>
        <v>Digital Design Specialisation (OpenUnis)</v>
      </c>
      <c r="E161" s="59">
        <f>TableOBINDSGN[[#This Row],[Credit Points]]</f>
        <v>100</v>
      </c>
      <c r="F161">
        <v>21</v>
      </c>
      <c r="G161" t="s">
        <v>357</v>
      </c>
      <c r="H161">
        <v>0</v>
      </c>
      <c r="I161" t="s">
        <v>330</v>
      </c>
      <c r="J161" t="s">
        <v>127</v>
      </c>
      <c r="K161" s="72">
        <v>1</v>
      </c>
      <c r="L161" s="72" t="s">
        <v>126</v>
      </c>
      <c r="M161" s="72">
        <v>100</v>
      </c>
      <c r="N161" s="168">
        <v>45292</v>
      </c>
      <c r="O161" s="168"/>
    </row>
    <row r="162" spans="1:15" x14ac:dyDescent="0.25">
      <c r="A162" t="str">
        <f>TableOBINDSGN[[#This Row],[Study Package Code]]</f>
        <v>OSCU-PLGEO</v>
      </c>
      <c r="B162" s="2">
        <f>TableOBINDSGN[[#This Row],[Ver]]</f>
        <v>1</v>
      </c>
      <c r="D162" t="str">
        <f>TableOBINDSGN[[#This Row],[Structure Line]]</f>
        <v>Planning and Geography Specialisation (OpenUnis)</v>
      </c>
      <c r="E162" s="59">
        <f>TableOBINDSGN[[#This Row],[Credit Points]]</f>
        <v>100</v>
      </c>
      <c r="F162">
        <v>21</v>
      </c>
      <c r="G162" t="s">
        <v>357</v>
      </c>
      <c r="H162">
        <v>0</v>
      </c>
      <c r="I162" t="s">
        <v>330</v>
      </c>
      <c r="J162" t="s">
        <v>130</v>
      </c>
      <c r="K162" s="72">
        <v>1</v>
      </c>
      <c r="L162" s="72" t="s">
        <v>129</v>
      </c>
      <c r="M162" s="72">
        <v>100</v>
      </c>
      <c r="N162" s="168">
        <v>44743</v>
      </c>
      <c r="O162" s="168"/>
    </row>
    <row r="163" spans="1:15" x14ac:dyDescent="0.25">
      <c r="A163" t="str">
        <f>TableOBINDSGN[[#This Row],[Study Package Code]]</f>
        <v>OSEU-ARCHT</v>
      </c>
      <c r="B163" s="2">
        <f>TableOBINDSGN[[#This Row],[Ver]]</f>
        <v>1</v>
      </c>
      <c r="D163" t="str">
        <f>TableOBINDSGN[[#This Row],[Structure Line]]</f>
        <v>Architectural Technology Specialisation (OpenUnis)</v>
      </c>
      <c r="E163" s="59">
        <f>TableOBINDSGN[[#This Row],[Credit Points]]</f>
        <v>100</v>
      </c>
      <c r="F163">
        <v>21</v>
      </c>
      <c r="G163" t="s">
        <v>357</v>
      </c>
      <c r="H163">
        <v>0</v>
      </c>
      <c r="I163" t="s">
        <v>330</v>
      </c>
      <c r="J163" t="s">
        <v>121</v>
      </c>
      <c r="K163" s="72">
        <v>1</v>
      </c>
      <c r="L163" s="72" t="s">
        <v>120</v>
      </c>
      <c r="M163" s="72">
        <v>100</v>
      </c>
      <c r="N163" s="168">
        <v>45292</v>
      </c>
      <c r="O163" s="168"/>
    </row>
  </sheetData>
  <conditionalFormatting sqref="Q3:R34 Q87:R90 Q107:R107 Q110:R135">
    <cfRule type="expression" dxfId="95" priority="32">
      <formula>Q3&lt;&gt;J3</formula>
    </cfRule>
  </conditionalFormatting>
  <conditionalFormatting sqref="O3:O34 O107">
    <cfRule type="notContainsBlanks" dxfId="94" priority="25">
      <formula>LEN(TRIM(O3))&gt;0</formula>
    </cfRule>
  </conditionalFormatting>
  <conditionalFormatting sqref="Q37:R68">
    <cfRule type="expression" dxfId="93" priority="16">
      <formula>Q37&lt;&gt;J37</formula>
    </cfRule>
  </conditionalFormatting>
  <conditionalFormatting sqref="O37:O68">
    <cfRule type="notContainsBlanks" dxfId="92" priority="15">
      <formula>LEN(TRIM(O37))&gt;0</formula>
    </cfRule>
  </conditionalFormatting>
  <conditionalFormatting sqref="Q71:R76">
    <cfRule type="expression" dxfId="91" priority="14">
      <formula>Q71&lt;&gt;J71</formula>
    </cfRule>
  </conditionalFormatting>
  <conditionalFormatting sqref="O71:O76">
    <cfRule type="notContainsBlanks" dxfId="90" priority="13">
      <formula>LEN(TRIM(O71))&gt;0</formula>
    </cfRule>
  </conditionalFormatting>
  <conditionalFormatting sqref="Q79:R84">
    <cfRule type="expression" dxfId="89" priority="12">
      <formula>Q79&lt;&gt;J79</formula>
    </cfRule>
  </conditionalFormatting>
  <conditionalFormatting sqref="O79:O84">
    <cfRule type="notContainsBlanks" dxfId="88" priority="11">
      <formula>LEN(TRIM(O79))&gt;0</formula>
    </cfRule>
  </conditionalFormatting>
  <conditionalFormatting sqref="O87:O90">
    <cfRule type="notContainsBlanks" dxfId="87" priority="9">
      <formula>LEN(TRIM(O87))&gt;0</formula>
    </cfRule>
  </conditionalFormatting>
  <conditionalFormatting sqref="Q93:R98">
    <cfRule type="expression" dxfId="86" priority="8">
      <formula>Q93&lt;&gt;J93</formula>
    </cfRule>
  </conditionalFormatting>
  <conditionalFormatting sqref="O93:O98">
    <cfRule type="notContainsBlanks" dxfId="85" priority="7">
      <formula>LEN(TRIM(O93))&gt;0</formula>
    </cfRule>
  </conditionalFormatting>
  <conditionalFormatting sqref="Q101:R106">
    <cfRule type="expression" dxfId="84" priority="6">
      <formula>Q101&lt;&gt;J101</formula>
    </cfRule>
  </conditionalFormatting>
  <conditionalFormatting sqref="O101:O106">
    <cfRule type="notContainsBlanks" dxfId="83" priority="5">
      <formula>LEN(TRIM(O101))&gt;0</formula>
    </cfRule>
  </conditionalFormatting>
  <conditionalFormatting sqref="O110:O135">
    <cfRule type="notContainsBlanks" dxfId="82" priority="3">
      <formula>LEN(TRIM(O110))&gt;0</formula>
    </cfRule>
  </conditionalFormatting>
  <conditionalFormatting sqref="Q138:R163">
    <cfRule type="expression" dxfId="81" priority="2">
      <formula>Q138&lt;&gt;J138</formula>
    </cfRule>
  </conditionalFormatting>
  <conditionalFormatting sqref="O138:O163">
    <cfRule type="notContainsBlanks" dxfId="80" priority="1">
      <formula>LEN(TRIM(O138))&gt;0</formula>
    </cfRule>
  </conditionalFormatting>
  <pageMargins left="0.7" right="0.7" top="0.75" bottom="0.75" header="0.3" footer="0.3"/>
  <pageSetup paperSize="9" orientation="portrait" r:id="rId1"/>
  <tableParts count="18">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41"/>
  <sheetViews>
    <sheetView topLeftCell="A10" workbookViewId="0">
      <selection activeCell="D6" sqref="D6"/>
    </sheetView>
  </sheetViews>
  <sheetFormatPr defaultRowHeight="15.75" x14ac:dyDescent="0.25"/>
  <cols>
    <col min="1" max="1" width="39.625" bestFit="1" customWidth="1"/>
    <col min="2" max="5" width="5.375" bestFit="1" customWidth="1"/>
    <col min="6" max="6" width="11.5" bestFit="1" customWidth="1"/>
    <col min="7" max="7" width="10.375" bestFit="1" customWidth="1"/>
    <col min="9" max="9" width="9.875" bestFit="1" customWidth="1"/>
    <col min="10" max="13" width="3.5" customWidth="1"/>
  </cols>
  <sheetData>
    <row r="1" spans="1:13" x14ac:dyDescent="0.25">
      <c r="A1" t="s">
        <v>385</v>
      </c>
      <c r="F1" s="175" t="s">
        <v>317</v>
      </c>
      <c r="G1" s="176">
        <v>45320</v>
      </c>
    </row>
    <row r="3" spans="1:13" ht="76.5" x14ac:dyDescent="0.25">
      <c r="A3" t="s">
        <v>386</v>
      </c>
      <c r="B3" s="159" t="s">
        <v>387</v>
      </c>
      <c r="C3" s="159" t="s">
        <v>388</v>
      </c>
      <c r="D3" s="159" t="s">
        <v>389</v>
      </c>
      <c r="E3" s="159" t="s">
        <v>390</v>
      </c>
    </row>
    <row r="4" spans="1:13" x14ac:dyDescent="0.25">
      <c r="A4" t="s">
        <v>163</v>
      </c>
      <c r="B4" s="2"/>
      <c r="C4" s="2">
        <v>1</v>
      </c>
      <c r="D4" s="2"/>
      <c r="E4" s="2">
        <v>1</v>
      </c>
    </row>
    <row r="5" spans="1:13" x14ac:dyDescent="0.25">
      <c r="A5" t="s">
        <v>67</v>
      </c>
      <c r="B5" s="2">
        <v>1</v>
      </c>
      <c r="C5" s="2"/>
      <c r="D5" s="2">
        <v>1</v>
      </c>
      <c r="E5" s="2"/>
    </row>
    <row r="6" spans="1:13" x14ac:dyDescent="0.25">
      <c r="A6" t="s">
        <v>71</v>
      </c>
      <c r="B6" s="2"/>
      <c r="C6" s="2">
        <v>1</v>
      </c>
      <c r="D6" s="2"/>
      <c r="E6" s="2">
        <v>1</v>
      </c>
    </row>
    <row r="7" spans="1:13" x14ac:dyDescent="0.25">
      <c r="A7" t="s">
        <v>88</v>
      </c>
      <c r="B7" s="2"/>
      <c r="C7" s="2">
        <v>1</v>
      </c>
      <c r="D7" s="2"/>
      <c r="E7" s="2">
        <v>1</v>
      </c>
    </row>
    <row r="8" spans="1:13" x14ac:dyDescent="0.25">
      <c r="A8" t="s">
        <v>157</v>
      </c>
      <c r="B8" s="2">
        <v>1</v>
      </c>
      <c r="C8" s="2"/>
      <c r="D8" s="2">
        <v>1</v>
      </c>
      <c r="E8" s="2"/>
    </row>
    <row r="9" spans="1:13" x14ac:dyDescent="0.25">
      <c r="A9" s="215" t="s">
        <v>107</v>
      </c>
      <c r="B9" s="216"/>
      <c r="C9" s="216"/>
      <c r="D9" s="216"/>
      <c r="E9" s="216"/>
      <c r="I9" s="215" t="s">
        <v>107</v>
      </c>
      <c r="J9" s="216"/>
      <c r="K9" s="216">
        <v>1</v>
      </c>
      <c r="L9" s="216"/>
      <c r="M9" s="216">
        <v>1</v>
      </c>
    </row>
    <row r="10" spans="1:13" x14ac:dyDescent="0.25">
      <c r="A10" s="215" t="s">
        <v>105</v>
      </c>
      <c r="B10" s="216"/>
      <c r="C10" s="216"/>
      <c r="D10" s="216"/>
      <c r="E10" s="216"/>
      <c r="I10" s="217" t="s">
        <v>105</v>
      </c>
      <c r="J10" s="218">
        <v>1</v>
      </c>
      <c r="K10" s="218"/>
      <c r="L10" s="218">
        <v>1</v>
      </c>
      <c r="M10" s="218"/>
    </row>
    <row r="11" spans="1:13" x14ac:dyDescent="0.25">
      <c r="A11" t="s">
        <v>169</v>
      </c>
      <c r="B11" s="2">
        <v>1</v>
      </c>
      <c r="C11" s="2"/>
      <c r="D11" s="2">
        <v>1</v>
      </c>
      <c r="E11" s="2"/>
    </row>
    <row r="12" spans="1:13" x14ac:dyDescent="0.25">
      <c r="A12" s="215" t="s">
        <v>122</v>
      </c>
      <c r="B12" s="216"/>
      <c r="C12" s="216"/>
      <c r="D12" s="216"/>
      <c r="E12" s="216"/>
      <c r="I12" s="217" t="s">
        <v>122</v>
      </c>
      <c r="J12" s="218"/>
      <c r="K12" s="218">
        <v>1</v>
      </c>
      <c r="L12" s="218"/>
      <c r="M12" s="218">
        <v>1</v>
      </c>
    </row>
    <row r="13" spans="1:13" x14ac:dyDescent="0.25">
      <c r="A13" t="s">
        <v>190</v>
      </c>
      <c r="B13" s="2"/>
      <c r="C13" s="2">
        <v>1</v>
      </c>
      <c r="D13" s="2"/>
      <c r="E13" s="2"/>
    </row>
    <row r="14" spans="1:13" x14ac:dyDescent="0.25">
      <c r="A14" t="s">
        <v>158</v>
      </c>
      <c r="B14" s="2">
        <v>1</v>
      </c>
      <c r="C14" s="2"/>
      <c r="D14" s="2">
        <v>1</v>
      </c>
      <c r="E14" s="2"/>
    </row>
    <row r="15" spans="1:13" x14ac:dyDescent="0.25">
      <c r="A15" t="s">
        <v>174</v>
      </c>
      <c r="B15" s="2">
        <v>1</v>
      </c>
      <c r="C15" s="2"/>
      <c r="D15" s="2">
        <v>1</v>
      </c>
      <c r="E15" s="2"/>
    </row>
    <row r="16" spans="1:13" x14ac:dyDescent="0.25">
      <c r="A16" t="s">
        <v>179</v>
      </c>
      <c r="B16" s="2"/>
      <c r="C16" s="2">
        <v>1</v>
      </c>
      <c r="D16" s="2"/>
      <c r="E16" s="2">
        <v>1</v>
      </c>
    </row>
    <row r="17" spans="1:13" x14ac:dyDescent="0.25">
      <c r="A17" t="s">
        <v>188</v>
      </c>
      <c r="B17" s="2">
        <v>1</v>
      </c>
      <c r="C17" s="2"/>
      <c r="D17" s="2">
        <v>1</v>
      </c>
      <c r="E17" s="2"/>
    </row>
    <row r="18" spans="1:13" x14ac:dyDescent="0.25">
      <c r="A18" t="s">
        <v>74</v>
      </c>
      <c r="B18" s="2">
        <v>1</v>
      </c>
      <c r="C18" s="2">
        <v>1</v>
      </c>
      <c r="D18" s="2">
        <v>1</v>
      </c>
      <c r="E18" s="2">
        <v>1</v>
      </c>
    </row>
    <row r="19" spans="1:13" x14ac:dyDescent="0.25">
      <c r="A19" t="s">
        <v>183</v>
      </c>
      <c r="B19" s="2">
        <v>1</v>
      </c>
      <c r="C19" s="2"/>
      <c r="D19" s="2">
        <v>1</v>
      </c>
      <c r="E19" s="2"/>
    </row>
    <row r="20" spans="1:13" x14ac:dyDescent="0.25">
      <c r="A20" t="s">
        <v>159</v>
      </c>
      <c r="B20" s="2">
        <v>1</v>
      </c>
      <c r="C20" s="2"/>
      <c r="D20" s="2">
        <v>1</v>
      </c>
      <c r="E20" s="2"/>
    </row>
    <row r="21" spans="1:13" x14ac:dyDescent="0.25">
      <c r="A21" t="s">
        <v>156</v>
      </c>
      <c r="B21" s="2"/>
      <c r="C21" s="2">
        <v>1</v>
      </c>
      <c r="D21" s="2"/>
      <c r="E21" s="2">
        <v>1</v>
      </c>
    </row>
    <row r="22" spans="1:13" x14ac:dyDescent="0.25">
      <c r="A22" t="s">
        <v>171</v>
      </c>
      <c r="B22" s="2">
        <v>1</v>
      </c>
      <c r="C22" s="2"/>
      <c r="D22" s="2">
        <v>1</v>
      </c>
      <c r="E22" s="2"/>
    </row>
    <row r="23" spans="1:13" x14ac:dyDescent="0.25">
      <c r="A23" t="s">
        <v>175</v>
      </c>
      <c r="B23" s="2"/>
      <c r="C23" s="2">
        <v>1</v>
      </c>
      <c r="D23" s="2"/>
      <c r="E23" s="2">
        <v>1</v>
      </c>
    </row>
    <row r="24" spans="1:13" x14ac:dyDescent="0.25">
      <c r="A24" t="s">
        <v>162</v>
      </c>
      <c r="B24" s="2">
        <v>1</v>
      </c>
      <c r="C24" s="2"/>
      <c r="D24" s="2">
        <v>1</v>
      </c>
      <c r="E24" s="2"/>
    </row>
    <row r="25" spans="1:13" x14ac:dyDescent="0.25">
      <c r="A25" t="s">
        <v>168</v>
      </c>
      <c r="B25" s="2"/>
      <c r="C25" s="2">
        <v>1</v>
      </c>
      <c r="D25" s="2"/>
      <c r="E25" s="2">
        <v>1</v>
      </c>
    </row>
    <row r="26" spans="1:13" x14ac:dyDescent="0.25">
      <c r="A26" s="215" t="s">
        <v>109</v>
      </c>
      <c r="B26" s="216"/>
      <c r="C26" s="216"/>
      <c r="D26" s="216"/>
      <c r="E26" s="216"/>
      <c r="I26" s="217" t="s">
        <v>109</v>
      </c>
      <c r="J26" s="218"/>
      <c r="K26" s="218">
        <v>1</v>
      </c>
      <c r="L26" s="218"/>
      <c r="M26" s="218">
        <v>1</v>
      </c>
    </row>
    <row r="27" spans="1:13" x14ac:dyDescent="0.25">
      <c r="A27" t="s">
        <v>182</v>
      </c>
      <c r="B27" s="2">
        <v>1</v>
      </c>
      <c r="C27" s="2"/>
      <c r="D27" s="2">
        <v>1</v>
      </c>
      <c r="E27" s="2"/>
    </row>
    <row r="28" spans="1:13" x14ac:dyDescent="0.25">
      <c r="A28" t="s">
        <v>165</v>
      </c>
      <c r="B28" s="2">
        <v>1</v>
      </c>
      <c r="C28" s="2"/>
      <c r="D28" s="2">
        <v>1</v>
      </c>
      <c r="E28" s="2"/>
    </row>
    <row r="29" spans="1:13" x14ac:dyDescent="0.25">
      <c r="A29" t="s">
        <v>73</v>
      </c>
      <c r="B29" s="2">
        <v>1</v>
      </c>
      <c r="C29" s="2"/>
      <c r="D29" s="2">
        <v>1</v>
      </c>
      <c r="E29" s="2"/>
    </row>
    <row r="30" spans="1:13" x14ac:dyDescent="0.25">
      <c r="A30" t="s">
        <v>87</v>
      </c>
      <c r="B30" s="2">
        <v>1</v>
      </c>
      <c r="C30" s="2"/>
      <c r="D30" s="2">
        <v>1</v>
      </c>
      <c r="E30" s="2"/>
    </row>
    <row r="31" spans="1:13" x14ac:dyDescent="0.25">
      <c r="A31" s="215" t="s">
        <v>100</v>
      </c>
      <c r="B31" s="216"/>
      <c r="C31" s="216"/>
      <c r="D31" s="216"/>
      <c r="E31" s="216"/>
      <c r="I31" s="215" t="s">
        <v>100</v>
      </c>
      <c r="J31" s="216">
        <v>1</v>
      </c>
      <c r="K31" s="216"/>
      <c r="L31" s="216">
        <v>1</v>
      </c>
      <c r="M31" s="216"/>
    </row>
    <row r="32" spans="1:13" x14ac:dyDescent="0.25">
      <c r="A32" s="215" t="s">
        <v>92</v>
      </c>
      <c r="B32" s="216">
        <v>1</v>
      </c>
      <c r="C32" s="216"/>
      <c r="D32" s="216">
        <v>1</v>
      </c>
      <c r="E32" s="216"/>
      <c r="I32" s="217" t="s">
        <v>92</v>
      </c>
      <c r="J32" s="218">
        <v>1</v>
      </c>
      <c r="K32" s="218"/>
      <c r="L32" s="218">
        <v>1</v>
      </c>
      <c r="M32" s="218"/>
    </row>
    <row r="33" spans="1:13" x14ac:dyDescent="0.25">
      <c r="A33" s="215" t="s">
        <v>93</v>
      </c>
      <c r="B33" s="216"/>
      <c r="C33" s="216">
        <v>1</v>
      </c>
      <c r="D33" s="216"/>
      <c r="E33" s="216">
        <v>1</v>
      </c>
      <c r="I33" s="215" t="s">
        <v>93</v>
      </c>
      <c r="J33" s="216"/>
      <c r="K33" s="216">
        <v>1</v>
      </c>
      <c r="L33" s="216"/>
      <c r="M33" s="216">
        <v>1</v>
      </c>
    </row>
    <row r="34" spans="1:13" x14ac:dyDescent="0.25">
      <c r="A34" s="215" t="s">
        <v>119</v>
      </c>
      <c r="B34" s="216"/>
      <c r="C34" s="216"/>
      <c r="D34" s="216"/>
      <c r="E34" s="216"/>
      <c r="I34" s="217" t="s">
        <v>119</v>
      </c>
      <c r="J34" s="218">
        <v>1</v>
      </c>
      <c r="K34" s="218"/>
      <c r="L34" s="218">
        <v>1</v>
      </c>
      <c r="M34" s="218"/>
    </row>
    <row r="35" spans="1:13" x14ac:dyDescent="0.25">
      <c r="A35" s="215" t="s">
        <v>128</v>
      </c>
      <c r="B35" s="216"/>
      <c r="C35" s="216"/>
      <c r="D35" s="216"/>
      <c r="E35" s="216"/>
      <c r="I35" s="215" t="s">
        <v>128</v>
      </c>
      <c r="J35" s="216">
        <v>1</v>
      </c>
      <c r="K35" s="216"/>
      <c r="L35" s="216">
        <v>1</v>
      </c>
      <c r="M35" s="216"/>
    </row>
    <row r="36" spans="1:13" x14ac:dyDescent="0.25">
      <c r="A36" s="215" t="s">
        <v>131</v>
      </c>
      <c r="B36" s="216"/>
      <c r="C36" s="216"/>
      <c r="D36" s="216"/>
      <c r="E36" s="216"/>
      <c r="I36" s="217" t="s">
        <v>131</v>
      </c>
      <c r="J36" s="218">
        <v>1</v>
      </c>
      <c r="K36" s="218"/>
      <c r="L36" s="218">
        <v>1</v>
      </c>
      <c r="M36" s="218"/>
    </row>
    <row r="37" spans="1:13" x14ac:dyDescent="0.25">
      <c r="A37" s="215" t="s">
        <v>147</v>
      </c>
      <c r="B37" s="216"/>
      <c r="C37" s="216"/>
      <c r="D37" s="216"/>
      <c r="E37" s="216"/>
      <c r="I37" s="215" t="s">
        <v>147</v>
      </c>
      <c r="J37" s="216">
        <v>1</v>
      </c>
      <c r="K37" s="216"/>
      <c r="L37" s="216">
        <v>1</v>
      </c>
      <c r="M37" s="216"/>
    </row>
    <row r="38" spans="1:13" x14ac:dyDescent="0.25">
      <c r="A38" s="215" t="s">
        <v>150</v>
      </c>
      <c r="B38" s="216"/>
      <c r="C38" s="216"/>
      <c r="D38" s="216"/>
      <c r="E38" s="216"/>
      <c r="I38" s="217" t="s">
        <v>150</v>
      </c>
      <c r="J38" s="218">
        <v>1</v>
      </c>
      <c r="K38" s="218"/>
      <c r="L38" s="218">
        <v>1</v>
      </c>
      <c r="M38" s="218"/>
    </row>
    <row r="39" spans="1:13" x14ac:dyDescent="0.25">
      <c r="A39" t="s">
        <v>172</v>
      </c>
      <c r="B39" s="2">
        <v>1</v>
      </c>
      <c r="C39" s="2"/>
      <c r="D39" s="2">
        <v>1</v>
      </c>
      <c r="E39" s="2"/>
    </row>
    <row r="40" spans="1:13" x14ac:dyDescent="0.25">
      <c r="A40" t="s">
        <v>160</v>
      </c>
      <c r="B40" s="2">
        <v>1</v>
      </c>
      <c r="C40" s="2"/>
      <c r="D40" s="2">
        <v>1</v>
      </c>
      <c r="E40" s="2"/>
    </row>
    <row r="41" spans="1:13" x14ac:dyDescent="0.25">
      <c r="A41" t="s">
        <v>166</v>
      </c>
      <c r="B41" s="2"/>
      <c r="C41" s="2">
        <v>1</v>
      </c>
      <c r="D41" s="2"/>
      <c r="E41" s="2">
        <v>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380bd5d-8f09-40a9-a9cb-2482ec2cd2ca">
      <Terms xmlns="http://schemas.microsoft.com/office/infopath/2007/PartnerControls"/>
    </lcf76f155ced4ddcb4097134ff3c332f>
    <TaxCatchAll xmlns="ba69df13-0c3c-4942-8695-6ca01564010c" xsi:nil="true"/>
    <SharedWithUsers xmlns="ba69df13-0c3c-4942-8695-6ca01564010c">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D5A8BA5900D0D41A965F85AF3329359" ma:contentTypeVersion="13" ma:contentTypeDescription="Create a new document." ma:contentTypeScope="" ma:versionID="682b5a54bc8341256a7f829b7a189b97">
  <xsd:schema xmlns:xsd="http://www.w3.org/2001/XMLSchema" xmlns:xs="http://www.w3.org/2001/XMLSchema" xmlns:p="http://schemas.microsoft.com/office/2006/metadata/properties" xmlns:ns2="2380bd5d-8f09-40a9-a9cb-2482ec2cd2ca" xmlns:ns3="ba69df13-0c3c-4942-8695-6ca01564010c" targetNamespace="http://schemas.microsoft.com/office/2006/metadata/properties" ma:root="true" ma:fieldsID="6a49c7057010557c7e889b7a3315e425" ns2:_="" ns3:_="">
    <xsd:import namespace="2380bd5d-8f09-40a9-a9cb-2482ec2cd2ca"/>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0bd5d-8f09-40a9-a9cb-2482ec2cd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2FBB4C-6ADF-4262-9F1C-6F0710538C55}">
  <ds:schemaRef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ba69df13-0c3c-4942-8695-6ca01564010c"/>
    <ds:schemaRef ds:uri="http://purl.org/dc/elements/1.1/"/>
    <ds:schemaRef ds:uri="2380bd5d-8f09-40a9-a9cb-2482ec2cd2ca"/>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68D48C3F-B12F-4245-88CE-DF0184666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80bd5d-8f09-40a9-a9cb-2482ec2cd2ca"/>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Interior Architecture</vt:lpstr>
      <vt:lpstr>Interior Design</vt:lpstr>
      <vt:lpstr>Unitsets</vt:lpstr>
      <vt:lpstr>Handbook</vt:lpstr>
      <vt:lpstr>Structures</vt:lpstr>
      <vt:lpstr>Availabilities</vt:lpstr>
      <vt:lpstr>'Interior Architecture'!Print_Area</vt:lpstr>
      <vt:lpstr>'Interior Design'!Print_Area</vt:lpstr>
      <vt:lpstr>RangeSpecSets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2024-03-05T03:21:14Z</cp:lastPrinted>
  <dcterms:created xsi:type="dcterms:W3CDTF">2022-02-28T04:48:12Z</dcterms:created>
  <dcterms:modified xsi:type="dcterms:W3CDTF">2024-03-05T03:21:24Z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0x0101007D5A8BA5900D0D41A965F85AF3329359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